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InkAnnotation="0" codeName="ThisWorkbook" defaultThemeVersion="124226"/>
  <mc:AlternateContent xmlns:mc="http://schemas.openxmlformats.org/markup-compatibility/2006">
    <mc:Choice Requires="x15">
      <x15ac:absPath xmlns:x15ac="http://schemas.microsoft.com/office/spreadsheetml/2010/11/ac" url="U:\RATES\Revenue Policy\Transmission Formula Annual Updates\2020\2020 Estimate\Filed Documents July 17 2020\With Passwords\"/>
    </mc:Choice>
  </mc:AlternateContent>
  <xr:revisionPtr revIDLastSave="0" documentId="13_ncr:1_{88034813-6717-4859-8172-DEC9AEE340E5}" xr6:coauthVersionLast="44" xr6:coauthVersionMax="44" xr10:uidLastSave="{00000000-0000-0000-0000-000000000000}"/>
  <bookViews>
    <workbookView xWindow="-120" yWindow="-120" windowWidth="29040" windowHeight="15840" tabRatio="855" xr2:uid="{00000000-000D-0000-FFFF-FFFF00000000}"/>
  </bookViews>
  <sheets>
    <sheet name="Title" sheetId="53" r:id="rId1"/>
    <sheet name="Attachment H-7" sheetId="1" r:id="rId2"/>
    <sheet name="1-Project Rev Req" sheetId="2" r:id="rId3"/>
    <sheet name="2-Incentive ROE" sheetId="16" r:id="rId4"/>
    <sheet name="3-Project True-up" sheetId="21" r:id="rId5"/>
    <sheet name="4- Rate Base" sheetId="5" r:id="rId6"/>
    <sheet name="4A - ADIT Summary" sheetId="27" r:id="rId7"/>
    <sheet name="4B - ADIT BOY" sheetId="28" r:id="rId8"/>
    <sheet name="4C - ADIT EOY" sheetId="29" r:id="rId9"/>
    <sheet name="4D - Intangible Pnt" sheetId="33" r:id="rId10"/>
    <sheet name="4E COA" sheetId="49" r:id="rId11"/>
    <sheet name="5-P3 Support" sheetId="6" r:id="rId12"/>
    <sheet name="5A - Revenue Credits" sheetId="30" r:id="rId13"/>
    <sheet name="5B - A&amp;G" sheetId="32" r:id="rId14"/>
    <sheet name="5C - Other Taxes" sheetId="57" r:id="rId15"/>
    <sheet name="6-True-Up Interest" sheetId="7" r:id="rId16"/>
    <sheet name="7 - PBOP" sheetId="17" r:id="rId17"/>
    <sheet name="8 - Depreciation Rates" sheetId="52" r:id="rId18"/>
    <sheet name="9 - EDIT" sheetId="54" r:id="rId19"/>
    <sheet name="10 - Pension Asset Discount" sheetId="55" r:id="rId20"/>
    <sheet name="11 - Cost of Capital" sheetId="56" r:id="rId21"/>
  </sheets>
  <externalReferences>
    <externalReference r:id="rId22"/>
    <externalReference r:id="rId23"/>
    <externalReference r:id="rId24"/>
    <externalReference r:id="rId25"/>
    <externalReference r:id="rId26"/>
    <externalReference r:id="rId27"/>
    <externalReference r:id="rId28"/>
  </externalReferences>
  <definedNames>
    <definedName name="_1K" hidden="1">[1]Masterdata!#REF!</definedName>
    <definedName name="_2K" hidden="1">[1]Masterdata!#REF!</definedName>
    <definedName name="_2S" hidden="1">[1]Masterdata!#REF!</definedName>
    <definedName name="_4S" hidden="1">[1]Masterdata!#REF!</definedName>
    <definedName name="_FEB01" localSheetId="6" hidden="1">{#N/A,#N/A,FALSE,"EMPPAY"}</definedName>
    <definedName name="_FEB01" localSheetId="7" hidden="1">{#N/A,#N/A,FALSE,"EMPPAY"}</definedName>
    <definedName name="_FEB01" localSheetId="8" hidden="1">{#N/A,#N/A,FALSE,"EMPPAY"}</definedName>
    <definedName name="_FEB01" hidden="1">{#N/A,#N/A,FALSE,"EMPPAY"}</definedName>
    <definedName name="_Fill" localSheetId="9" hidden="1">#REF!</definedName>
    <definedName name="_Fill" hidden="1">#REF!</definedName>
    <definedName name="_JAN01" localSheetId="6" hidden="1">{#N/A,#N/A,FALSE,"EMPPAY"}</definedName>
    <definedName name="_JAN01" localSheetId="7" hidden="1">{#N/A,#N/A,FALSE,"EMPPAY"}</definedName>
    <definedName name="_JAN01" localSheetId="8" hidden="1">{#N/A,#N/A,FALSE,"EMPPAY"}</definedName>
    <definedName name="_JAN01" hidden="1">{#N/A,#N/A,FALSE,"EMPPAY"}</definedName>
    <definedName name="_JAN2001" localSheetId="6" hidden="1">{#N/A,#N/A,FALSE,"EMPPAY"}</definedName>
    <definedName name="_JAN2001" localSheetId="7" hidden="1">{#N/A,#N/A,FALSE,"EMPPAY"}</definedName>
    <definedName name="_JAN2001" localSheetId="8" hidden="1">{#N/A,#N/A,FALSE,"EMPPAY"}</definedName>
    <definedName name="_JAN2001" hidden="1">{#N/A,#N/A,FALSE,"EMPPAY"}</definedName>
    <definedName name="_Order1" hidden="1">255</definedName>
    <definedName name="_Order2" hidden="1">0</definedName>
    <definedName name="_ryr56565" hidden="1">{#N/A,#N/A,FALSE,"Monthly SAIFI";#N/A,#N/A,FALSE,"Yearly SAIFI";#N/A,#N/A,FALSE,"Monthly CAIDI";#N/A,#N/A,FALSE,"Yearly CAIDI";#N/A,#N/A,FALSE,"Monthly SAIDI";#N/A,#N/A,FALSE,"Yearly SAIDI";#N/A,#N/A,FALSE,"Monthly MAIFI";#N/A,#N/A,FALSE,"Yearly MAIFI";#N/A,#N/A,FALSE,"Monthly Cust &gt;=4 Int"}</definedName>
    <definedName name="A" localSheetId="6" hidden="1">{#N/A,#N/A,FALSE,"EMPPAY"}</definedName>
    <definedName name="A" localSheetId="7" hidden="1">{#N/A,#N/A,FALSE,"EMPPAY"}</definedName>
    <definedName name="A" localSheetId="8" hidden="1">{#N/A,#N/A,FALSE,"EMPPAY"}</definedName>
    <definedName name="A" hidden="1">{#N/A,#N/A,FALSE,"EMPPAY"}</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dfsadfds" hidden="1">{#N/A,#N/A,FALSE,"Monthly SAIFI";#N/A,#N/A,FALSE,"Yearly SAIFI";#N/A,#N/A,FALSE,"Monthly CAIDI";#N/A,#N/A,FALSE,"Yearly CAIDI";#N/A,#N/A,FALSE,"Monthly SAIDI";#N/A,#N/A,FALSE,"Yearly SAIDI";#N/A,#N/A,FALSE,"Monthly MAIFI";#N/A,#N/A,FALSE,"Yearly MAIFI";#N/A,#N/A,FALSE,"Monthly Cust &gt;=4 Int"}</definedName>
    <definedName name="Alignment" hidden="1">"a1"</definedName>
    <definedName name="alsdfa" hidden="1">{#N/A,#N/A,FALSE,"Monthly SAIFI";#N/A,#N/A,FALSE,"Yearly SAIFI";#N/A,#N/A,FALSE,"Monthly CAIDI";#N/A,#N/A,FALSE,"Yearly CAIDI";#N/A,#N/A,FALSE,"Monthly SAIDI";#N/A,#N/A,FALSE,"Yearly SAIDI";#N/A,#N/A,FALSE,"Monthly MAIFI";#N/A,#N/A,FALSE,"Yearly MAIFI";#N/A,#N/A,FALSE,"Monthly Cust &gt;=4 Int"}</definedName>
    <definedName name="anscount" hidden="1">1</definedName>
    <definedName name="AS2DocOpenMode" hidden="1">"AS2DocumentEdit"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ny" hidden="1">{#N/A,#N/A,FALSE,"Monthly SAIFI";#N/A,#N/A,FALSE,"Yearly SAIFI";#N/A,#N/A,FALSE,"Monthly CAIDI";#N/A,#N/A,FALSE,"Yearly CAIDI";#N/A,#N/A,FALSE,"Monthly SAIDI";#N/A,#N/A,FALSE,"Yearly SAIDI";#N/A,#N/A,FALSE,"Monthly MAIFI";#N/A,#N/A,FALSE,"Yearly MAIFI";#N/A,#N/A,FALSE,"Monthly Cust &gt;=4 Int"}</definedName>
    <definedName name="can" hidden="1">{#N/A,#N/A,FALSE,"O&amp;M by processes";#N/A,#N/A,FALSE,"Elec Act vs Bud";#N/A,#N/A,FALSE,"G&amp;A";#N/A,#N/A,FALSE,"BGS";#N/A,#N/A,FALSE,"Res Cost"}</definedName>
    <definedName name="cbcvbcv"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lientMatter" hidden="1">"b1"</definedName>
    <definedName name="CompanyName">'[2]Title Page'!$A$22</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SDD" hidden="1">{#N/A,#N/A,FALSE,"Monthly SAIFI";#N/A,#N/A,FALSE,"Yearly SAIFI";#N/A,#N/A,FALSE,"Monthly CAIDI";#N/A,#N/A,FALSE,"Yearly CAIDI";#N/A,#N/A,FALSE,"Monthly SAIDI";#N/A,#N/A,FALSE,"Yearly SAIDI";#N/A,#N/A,FALSE,"Monthly MAIFI";#N/A,#N/A,FALSE,"Yearly MAIFI";#N/A,#N/A,FALSE,"Monthly Cust &gt;=4 Int"}</definedName>
    <definedName name="DATAFEEDER">[3]!DATAFEEDER</definedName>
    <definedName name="Date" hidden="1">"b1"</definedName>
    <definedName name="dd"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C00" localSheetId="6" hidden="1">{#N/A,#N/A,FALSE,"ARREC"}</definedName>
    <definedName name="DEC00" localSheetId="7" hidden="1">{#N/A,#N/A,FALSE,"ARREC"}</definedName>
    <definedName name="DEC00" localSheetId="8" hidden="1">{#N/A,#N/A,FALSE,"ARREC"}</definedName>
    <definedName name="DEC00" hidden="1">{#N/A,#N/A,FALSE,"ARREC"}</definedName>
    <definedName name="delete" hidden="1">{#N/A,#N/A,FALSE,"CURRENT"}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sfs"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ocumentName" hidden="1">"b1"</definedName>
    <definedName name="DocumentNum" hidden="1">"a1"</definedName>
    <definedName name="dskdlss"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e" hidden="1">{#N/A,#N/A,FALSE,"O&amp;M by processes";#N/A,#N/A,FALSE,"Elec Act vs Bud";#N/A,#N/A,FALSE,"G&amp;A";#N/A,#N/A,FALSE,"BGS";#N/A,#N/A,FALSE,"Res Cost"}</definedName>
    <definedName name="EssOptions">"1100000000130100_11-          00"</definedName>
    <definedName name="EV__LASTREFTIME__" hidden="1">39826.8319444444</definedName>
    <definedName name="f"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B00" localSheetId="6" hidden="1">{#N/A,#N/A,FALSE,"ARREC"}</definedName>
    <definedName name="FEB00" localSheetId="7" hidden="1">{#N/A,#N/A,FALSE,"ARREC"}</definedName>
    <definedName name="FEB00" localSheetId="8" hidden="1">{#N/A,#N/A,FALSE,"ARREC"}</definedName>
    <definedName name="FEB00" hidden="1">{#N/A,#N/A,FALSE,"ARREC"}</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h"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brary" hidden="1">"a1"</definedName>
    <definedName name="limcount" hidden="1">1</definedName>
    <definedName name="loilpuioopy"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Y" localSheetId="6" hidden="1">{#N/A,#N/A,FALSE,"EMPPAY"}</definedName>
    <definedName name="MAY" localSheetId="7" hidden="1">{#N/A,#N/A,FALSE,"EMPPAY"}</definedName>
    <definedName name="MAY" localSheetId="8" hidden="1">{#N/A,#N/A,FALSE,"EMPPAY"}</definedName>
    <definedName name="MAY" hidden="1">{#N/A,#N/A,FALSE,"EMPPAY"}</definedName>
    <definedName name="New_99_IS">'[4]2nd qtr 2000'!$A$1:$I$58,'[4]2nd qtr 2000'!$K$1:$T$58,'[4]2nd qtr 2000'!$V$1:$AI$58</definedName>
    <definedName name="November09" hidden="1">{#N/A,#N/A,FALSE,"Monthly SAIFI";#N/A,#N/A,FALSE,"Yearly SAIFI";#N/A,#N/A,FALSE,"Monthly CAIDI";#N/A,#N/A,FALSE,"Yearly CAIDI";#N/A,#N/A,FALSE,"Monthly SAIDI";#N/A,#N/A,FALSE,"Yearly SAIDI";#N/A,#N/A,FALSE,"Monthly MAIFI";#N/A,#N/A,FALSE,"Yearly MAIFI";#N/A,#N/A,FALSE,"Monthly Cust &gt;=4 Int"}</definedName>
    <definedName name="NvsASD">"V2003-01-31"</definedName>
    <definedName name="NvsAutoDrillOk">"VN"</definedName>
    <definedName name="NvsElapsedTime">0.000885069443029352</definedName>
    <definedName name="NvsEndTime">37660.0906980324</definedName>
    <definedName name="NvsInstSpec">"%,FBUSINESS_UNIT,TBU_ROLLUP,NPED,FDEPTID,TDEPT_ROLLUP,NCFO_VP_FINANCE"</definedName>
    <definedName name="NvsLayoutType">"M3"</definedName>
    <definedName name="NvsNplSpec">"%,X,RZF..,CZF.."</definedName>
    <definedName name="NvsPanelEffdt">"V1990-01-02"</definedName>
    <definedName name="NvsPanelSetid">"VPESHR"</definedName>
    <definedName name="NvsReqBU">"V10200"</definedName>
    <definedName name="NvsReqBUOnly">"VN"</definedName>
    <definedName name="NvsTransLed">"VN"</definedName>
    <definedName name="NvsTreeASD">"V2003-01-31"</definedName>
    <definedName name="NvsValTbl.ACCOUNT">"GL_ACCOUNT_TBL"</definedName>
    <definedName name="Print_99_IS">'[4]2nd qtr 2000'!$D$1:$I$58,'[4]2nd qtr 2000'!$N$1:$T$58,'[4]2nd qtr 2000'!$AA$1:$AH$57</definedName>
    <definedName name="_xlnm.Print_Area" localSheetId="2">'1-Project Rev Req'!$A$1:$T$119</definedName>
    <definedName name="_xlnm.Print_Area" localSheetId="3">'2-Incentive ROE'!$A$1:$K$48</definedName>
    <definedName name="_xlnm.Print_Area" localSheetId="5">'4- Rate Base'!$A$1:$L$118</definedName>
    <definedName name="_xlnm.Print_Area" localSheetId="6">'4A - ADIT Summary'!$A$1:$M$100</definedName>
    <definedName name="_xlnm.Print_Area" localSheetId="7">'4B - ADIT BOY'!$A$1:$H$185</definedName>
    <definedName name="_xlnm.Print_Area" localSheetId="9">'4D - Intangible Pnt'!$A$1:$T$107</definedName>
    <definedName name="_xlnm.Print_Area" localSheetId="10">'4E COA'!$A$1:$H$89</definedName>
    <definedName name="_xlnm.Print_Area" localSheetId="12">'5A - Revenue Credits'!$A$1:$H$93</definedName>
    <definedName name="_xlnm.Print_Area" localSheetId="13">'5B - A&amp;G'!$A$1:$J$31</definedName>
    <definedName name="_xlnm.Print_Area" localSheetId="11">'5-P3 Support'!$A$1:$M$56</definedName>
    <definedName name="_xlnm.Print_Area" localSheetId="15">'6-True-Up Interest'!$A$1:$I$74</definedName>
    <definedName name="_xlnm.Print_Area" localSheetId="16">'7 - PBOP'!$A$1:$F$25</definedName>
    <definedName name="_xlnm.Print_Area" localSheetId="17">'8 - Depreciation Rates'!$A$1:$L$149</definedName>
    <definedName name="_xlnm.Print_Area" localSheetId="1">'Attachment H-7'!$A$1:$K$255</definedName>
    <definedName name="_xlnm.Print_Area" localSheetId="0">Title!$A$1:$H$22</definedName>
    <definedName name="Print_TFI_use">'[5]TFI use'!$A$1:$P$40,'[5]TFI use'!$A$42:$P$65,'[5]TFI use'!$A$67:$R$84</definedName>
    <definedName name="reawreqw" hidden="1">{#N/A,#N/A,FALSE,"Monthly SAIFI";#N/A,#N/A,FALSE,"Yearly SAIFI";#N/A,#N/A,FALSE,"Monthly CAIDI";#N/A,#N/A,FALSE,"Yearly CAIDI";#N/A,#N/A,FALSE,"Monthly SAIDI";#N/A,#N/A,FALSE,"Yearly SAIDI";#N/A,#N/A,FALSE,"Monthly MAIFI";#N/A,#N/A,FALSE,"Yearly MAIFI";#N/A,#N/A,FALSE,"Monthly Cust &gt;=4 Int"}</definedName>
    <definedName name="rrrr" hidden="1">{#N/A,#N/A,FALSE,"O&amp;M by processes";#N/A,#N/A,FALSE,"Elec Act vs Bud";#N/A,#N/A,FALSE,"G&amp;A";#N/A,#N/A,FALSE,"BGS";#N/A,#N/A,FALSE,"Res Cost"}</definedName>
    <definedName name="saSAsa"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iva" hidden="1">{#N/A,#N/A,FALSE,"O&amp;M by processes";#N/A,#N/A,FALSE,"Elec Act vs Bud";#N/A,#N/A,FALSE,"G&amp;A";#N/A,#N/A,FALSE,"BGS";#N/A,#N/A,FALSE,"Res Cost"}</definedName>
    <definedName name="slldk" hidden="1">{#N/A,#N/A,FALSE,"Monthly SAIFI";#N/A,#N/A,FALSE,"Yearly SAIFI";#N/A,#N/A,FALSE,"Monthly CAIDI";#N/A,#N/A,FALSE,"Yearly CAIDI";#N/A,#N/A,FALSE,"Monthly SAIDI";#N/A,#N/A,FALSE,"Yearly SAIDI";#N/A,#N/A,FALSE,"Monthly MAIFI";#N/A,#N/A,FALSE,"Yearly MAIFI";#N/A,#N/A,FALSE,"Monthly Cust &gt;=4 Int"}</definedName>
    <definedName name="solver_lin" hidden="1">0</definedName>
    <definedName name="solver_num" hidden="1">0</definedName>
    <definedName name="solver_opt" hidden="1">#REF!</definedName>
    <definedName name="solver_typ" hidden="1">1</definedName>
    <definedName name="solver_val" hidden="1">0</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EST" localSheetId="6" hidden="1">{#N/A,#N/A,FALSE,"EMPPAY"}</definedName>
    <definedName name="TEST" localSheetId="7" hidden="1">{#N/A,#N/A,FALSE,"EMPPAY"}</definedName>
    <definedName name="TEST" localSheetId="8" hidden="1">{#N/A,#N/A,FALSE,"EMPPAY"}</definedName>
    <definedName name="TEST" hidden="1">{#N/A,#N/A,FALSE,"EMPPAY"}</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ypist" hidden="1">"b1"</definedName>
    <definedName name="tyty"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rsion" hidden="1">"a1"</definedName>
    <definedName name="wer" hidden="1">{#N/A,#N/A,FALSE,"Monthly SAIFI";#N/A,#N/A,FALSE,"Yearly SAIFI";#N/A,#N/A,FALSE,"Monthly CAIDI";#N/A,#N/A,FALSE,"Yearly CAIDI";#N/A,#N/A,FALSE,"Monthly SAIDI";#N/A,#N/A,FALSE,"Yearly SAIDI";#N/A,#N/A,FALSE,"Monthly MAIFI";#N/A,#N/A,FALSE,"Yearly MAIFI";#N/A,#N/A,FALSE,"Monthly Cust &gt;=4 Int"}</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RREC." localSheetId="6" hidden="1">{#N/A,#N/A,FALSE,"ARREC"}</definedName>
    <definedName name="wrn.ARREC." localSheetId="7" hidden="1">{#N/A,#N/A,FALSE,"ARREC"}</definedName>
    <definedName name="wrn.ARREC." localSheetId="8" hidden="1">{#N/A,#N/A,FALSE,"ARREC"}</definedName>
    <definedName name="wrn.ARREC." hidden="1">{#N/A,#N/A,FALSE,"ARREC"}</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6" hidden="1">{#N/A,#N/A,FALSE,"EMPPAY"}</definedName>
    <definedName name="wrn.EMPPAY." localSheetId="7" hidden="1">{#N/A,#N/A,FALSE,"EMPPAY"}</definedName>
    <definedName name="wrn.EMPPAY." localSheetId="8" hidden="1">{#N/A,#N/A,FALSE,"EMPPAY"}</definedName>
    <definedName name="wrn.EMPPAY." hidden="1">{#N/A,#N/A,FALSE,"EMPPAY"}</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 localSheetId="6" hidden="1">{#N/A,#N/A,FALSE,"EMPPAY"}</definedName>
    <definedName name="xx" localSheetId="7" hidden="1">{#N/A,#N/A,FALSE,"EMPPAY"}</definedName>
    <definedName name="xx" localSheetId="8" hidden="1">{#N/A,#N/A,FALSE,"EMPPAY"}</definedName>
    <definedName name="xx" hidden="1">{#N/A,#N/A,FALSE,"EMPPAY"}</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 hidden="1">{#N/A,#N/A,FALSE,"Monthly SAIFI";#N/A,#N/A,FALSE,"Yearly SAIFI";#N/A,#N/A,FALSE,"Monthly CAIDI";#N/A,#N/A,FALSE,"Yearly CAIDI";#N/A,#N/A,FALSE,"Monthly SAIDI";#N/A,#N/A,FALSE,"Yearly SAIDI";#N/A,#N/A,FALSE,"Monthly MAIFI";#N/A,#N/A,FALSE,"Yearly MAIFI";#N/A,#N/A,FALSE,"Monthly Cust &gt;=4 Int"}</definedName>
    <definedName name="Year">[6]Rev_Req!$I$5</definedName>
    <definedName name="yryryrr"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F04A2B9A_C6FE_4FEB_AD1E_2CF9AC309BE4_.wvu.PrintArea" localSheetId="2" hidden="1">'1-Project Rev Req'!$A$1:$Q$114</definedName>
    <definedName name="Z_F04A2B9A_C6FE_4FEB_AD1E_2CF9AC309BE4_.wvu.PrintArea" localSheetId="4" hidden="1">'3-Project True-up'!$A$1:$L$24</definedName>
    <definedName name="Z_F04A2B9A_C6FE_4FEB_AD1E_2CF9AC309BE4_.wvu.PrintArea" localSheetId="5" hidden="1">'4- Rate Base'!$A$1:$L$46</definedName>
    <definedName name="Z_F04A2B9A_C6FE_4FEB_AD1E_2CF9AC309BE4_.wvu.PrintArea" localSheetId="1" hidden="1">'Attachment H-7'!$A$1:$K$247</definedName>
  </definedNames>
  <calcPr calcId="191029"/>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30" l="1"/>
  <c r="F48" i="21" l="1"/>
  <c r="P43" i="33" l="1"/>
  <c r="R43" i="33" s="1"/>
  <c r="P18" i="33"/>
  <c r="R18" i="33" s="1"/>
  <c r="D95" i="33" l="1"/>
  <c r="F112" i="5" l="1"/>
  <c r="F113" i="5"/>
  <c r="F114" i="5"/>
  <c r="F115" i="5"/>
  <c r="E3" i="7" l="1"/>
  <c r="G95" i="33" l="1"/>
  <c r="C27" i="33" l="1"/>
  <c r="F100" i="5" l="1"/>
  <c r="D118" i="5" l="1"/>
  <c r="E118" i="5"/>
  <c r="D75" i="30" l="1"/>
  <c r="G74" i="30"/>
  <c r="E73" i="30"/>
  <c r="P41" i="33" l="1"/>
  <c r="Q41" i="33" s="1"/>
  <c r="P16" i="33"/>
  <c r="Q16" i="33" s="1"/>
  <c r="T16" i="33" s="1"/>
  <c r="A1" i="57" l="1"/>
  <c r="D94" i="33" l="1"/>
  <c r="G94" i="33" s="1"/>
  <c r="K95" i="52" l="1"/>
  <c r="K94" i="52"/>
  <c r="K91" i="52"/>
  <c r="K90" i="52"/>
  <c r="K89" i="52"/>
  <c r="K81" i="52"/>
  <c r="K80" i="52"/>
  <c r="K79" i="52"/>
  <c r="K78" i="52"/>
  <c r="K76" i="52"/>
  <c r="K75" i="52"/>
  <c r="K74" i="52"/>
  <c r="K73" i="52"/>
  <c r="K72" i="52"/>
  <c r="K71" i="52"/>
  <c r="K70" i="52"/>
  <c r="K69" i="52"/>
  <c r="K61" i="52"/>
  <c r="K60" i="52"/>
  <c r="K59" i="52"/>
  <c r="K58" i="52"/>
  <c r="K57" i="52"/>
  <c r="K56" i="52"/>
  <c r="K55" i="52"/>
  <c r="K54" i="52"/>
  <c r="K51" i="52"/>
  <c r="K50" i="52"/>
  <c r="K49" i="52"/>
  <c r="K48" i="52"/>
  <c r="K47" i="52"/>
  <c r="K46" i="52"/>
  <c r="K45" i="52"/>
  <c r="K44" i="52"/>
  <c r="K37" i="52"/>
  <c r="K36" i="52"/>
  <c r="K35" i="52"/>
  <c r="K34" i="52"/>
  <c r="K33" i="52"/>
  <c r="K32" i="52"/>
  <c r="K31" i="52"/>
  <c r="K30" i="52"/>
  <c r="K29" i="52"/>
  <c r="K28" i="52"/>
  <c r="K27" i="52"/>
  <c r="K26" i="52"/>
  <c r="K22" i="52"/>
  <c r="K21" i="52"/>
  <c r="K20" i="52"/>
  <c r="K19" i="52"/>
  <c r="K18" i="52"/>
  <c r="K17" i="52"/>
  <c r="K16" i="52"/>
  <c r="K15" i="52"/>
  <c r="J61" i="52" l="1"/>
  <c r="J60" i="52"/>
  <c r="J59" i="52"/>
  <c r="J58" i="52"/>
  <c r="J57" i="52"/>
  <c r="J56" i="52"/>
  <c r="J55" i="52"/>
  <c r="J54" i="52"/>
  <c r="I66" i="52" l="1"/>
  <c r="H66" i="52"/>
  <c r="I62" i="52"/>
  <c r="H62" i="52"/>
  <c r="H121" i="52" l="1"/>
  <c r="G111" i="52"/>
  <c r="H124" i="52" s="1"/>
  <c r="F101" i="52"/>
  <c r="A108" i="52"/>
  <c r="A109" i="52" s="1"/>
  <c r="A110" i="52" s="1"/>
  <c r="A111" i="52" s="1"/>
  <c r="A112" i="52" s="1"/>
  <c r="A113" i="52" s="1"/>
  <c r="A114" i="52" s="1"/>
  <c r="A115" i="52" l="1"/>
  <c r="A118" i="52" s="1"/>
  <c r="A121" i="52" s="1"/>
  <c r="A122" i="52" s="1"/>
  <c r="A123" i="52" s="1"/>
  <c r="A124" i="52" s="1"/>
  <c r="A125" i="52" s="1"/>
  <c r="A126" i="52" s="1"/>
  <c r="A127" i="52" s="1"/>
  <c r="A128" i="52" s="1"/>
  <c r="A129" i="52" s="1"/>
  <c r="A130" i="52" s="1"/>
  <c r="A131" i="52" s="1"/>
  <c r="A132" i="52" s="1"/>
  <c r="A133" i="52" s="1"/>
  <c r="A134" i="52" s="1"/>
  <c r="A135" i="52" s="1"/>
  <c r="J64" i="52" l="1"/>
  <c r="A44" i="52" l="1"/>
  <c r="A45" i="52" s="1"/>
  <c r="A46" i="52" s="1"/>
  <c r="A47" i="52" s="1"/>
  <c r="A48" i="52" s="1"/>
  <c r="A49" i="52" s="1"/>
  <c r="A50" i="52" s="1"/>
  <c r="A51" i="52" s="1"/>
  <c r="A52" i="52" s="1"/>
  <c r="A54" i="52" s="1"/>
  <c r="A55" i="52" s="1"/>
  <c r="A14" i="52"/>
  <c r="A15" i="52" s="1"/>
  <c r="A16" i="52" s="1"/>
  <c r="A17" i="52" s="1"/>
  <c r="A18" i="52" s="1"/>
  <c r="A19" i="52" s="1"/>
  <c r="A20" i="52" s="1"/>
  <c r="A21" i="52" s="1"/>
  <c r="A22" i="52" s="1"/>
  <c r="A23" i="52" s="1"/>
  <c r="A25" i="52" s="1"/>
  <c r="A26" i="52" s="1"/>
  <c r="A27" i="52" s="1"/>
  <c r="A28" i="52" s="1"/>
  <c r="A29" i="52" s="1"/>
  <c r="A30" i="52" s="1"/>
  <c r="A31" i="52" s="1"/>
  <c r="A32" i="52" s="1"/>
  <c r="A33" i="52" s="1"/>
  <c r="A34" i="52" s="1"/>
  <c r="A35" i="52" s="1"/>
  <c r="A36" i="52" s="1"/>
  <c r="A37" i="52" s="1"/>
  <c r="A38" i="52" s="1"/>
  <c r="A56" i="52" l="1"/>
  <c r="I52" i="52"/>
  <c r="H52" i="52"/>
  <c r="A57" i="52" l="1"/>
  <c r="A58" i="52" s="1"/>
  <c r="A59" i="52" s="1"/>
  <c r="A60" i="52" s="1"/>
  <c r="A61" i="52" s="1"/>
  <c r="J70" i="52"/>
  <c r="J71" i="52"/>
  <c r="J72" i="52"/>
  <c r="J73" i="52"/>
  <c r="J74" i="52"/>
  <c r="J75" i="52"/>
  <c r="J76" i="52"/>
  <c r="J51" i="52"/>
  <c r="J50" i="52"/>
  <c r="J49" i="52"/>
  <c r="J48" i="52"/>
  <c r="J47" i="52"/>
  <c r="J46" i="52"/>
  <c r="J45" i="52"/>
  <c r="A62" i="52" l="1"/>
  <c r="A64" i="52" s="1"/>
  <c r="A65" i="52" s="1"/>
  <c r="A66"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K62" i="52"/>
  <c r="J62" i="52"/>
  <c r="K52" i="52"/>
  <c r="L12" i="6" l="1"/>
  <c r="D131" i="1" s="1"/>
  <c r="D112" i="52"/>
  <c r="D111" i="52"/>
  <c r="K12" i="6"/>
  <c r="D130" i="1" s="1"/>
  <c r="E52" i="57" l="1"/>
  <c r="E47" i="57"/>
  <c r="F91" i="5" l="1"/>
  <c r="F111" i="5"/>
  <c r="F109" i="5"/>
  <c r="F107" i="5"/>
  <c r="F105" i="5"/>
  <c r="F103" i="5"/>
  <c r="F102" i="5"/>
  <c r="F101" i="5"/>
  <c r="F99" i="5"/>
  <c r="F93" i="5"/>
  <c r="A40" i="57" l="1"/>
  <c r="A41" i="57" s="1"/>
  <c r="E37" i="57" l="1"/>
  <c r="H21" i="6" s="1"/>
  <c r="E28" i="57"/>
  <c r="I21" i="6" s="1"/>
  <c r="E20" i="57"/>
  <c r="E21" i="6" s="1"/>
  <c r="E12" i="57"/>
  <c r="G21" i="6" s="1"/>
  <c r="E30" i="57" l="1"/>
  <c r="E39" i="57" s="1"/>
  <c r="E41" i="57" s="1"/>
  <c r="D117" i="1" l="1"/>
  <c r="D116" i="1"/>
  <c r="D115" i="1"/>
  <c r="P38" i="56"/>
  <c r="J35" i="6" s="1"/>
  <c r="O43" i="56" l="1"/>
  <c r="N43" i="56"/>
  <c r="M43" i="56"/>
  <c r="L43" i="56"/>
  <c r="K43" i="56"/>
  <c r="J43" i="56"/>
  <c r="I43" i="56"/>
  <c r="H43" i="56"/>
  <c r="G43" i="56"/>
  <c r="F43" i="56"/>
  <c r="E43" i="56"/>
  <c r="D43" i="56"/>
  <c r="C43" i="56"/>
  <c r="O42" i="56"/>
  <c r="N42" i="56"/>
  <c r="N44" i="56" s="1"/>
  <c r="M42" i="56"/>
  <c r="M44" i="56" s="1"/>
  <c r="L42" i="56"/>
  <c r="K42" i="56"/>
  <c r="J42" i="56"/>
  <c r="J44" i="56" s="1"/>
  <c r="I42" i="56"/>
  <c r="I44" i="56" s="1"/>
  <c r="H42" i="56"/>
  <c r="G42" i="56"/>
  <c r="F42" i="56"/>
  <c r="F44" i="56" s="1"/>
  <c r="E42" i="56"/>
  <c r="E44" i="56" s="1"/>
  <c r="D42" i="56"/>
  <c r="C42" i="56"/>
  <c r="P41" i="56"/>
  <c r="J36" i="6" s="1"/>
  <c r="P40" i="56"/>
  <c r="P39" i="56"/>
  <c r="P37" i="56"/>
  <c r="P36" i="56"/>
  <c r="P35" i="56"/>
  <c r="P34" i="56"/>
  <c r="P33" i="56"/>
  <c r="P32" i="56"/>
  <c r="P31" i="56"/>
  <c r="P30" i="56"/>
  <c r="P29" i="56"/>
  <c r="P43" i="56" s="1"/>
  <c r="J34" i="6" s="1"/>
  <c r="F43" i="6" s="1"/>
  <c r="P28" i="56"/>
  <c r="O22" i="56"/>
  <c r="N22" i="56"/>
  <c r="M22" i="56"/>
  <c r="L22" i="56"/>
  <c r="K22" i="56"/>
  <c r="J22" i="56"/>
  <c r="I22" i="56"/>
  <c r="H22" i="56"/>
  <c r="G22" i="56"/>
  <c r="F22" i="56"/>
  <c r="E22" i="56"/>
  <c r="D22" i="56"/>
  <c r="C22" i="56"/>
  <c r="P21" i="56"/>
  <c r="P20" i="56"/>
  <c r="P19" i="56"/>
  <c r="P18" i="56"/>
  <c r="G13" i="56"/>
  <c r="J29" i="6" s="1"/>
  <c r="A7" i="56"/>
  <c r="A8" i="56" s="1"/>
  <c r="A9" i="56" s="1"/>
  <c r="A10" i="56" s="1"/>
  <c r="A11" i="56" s="1"/>
  <c r="A12" i="56" s="1"/>
  <c r="A13" i="56" s="1"/>
  <c r="A18" i="56" s="1"/>
  <c r="A19" i="56" s="1"/>
  <c r="A20" i="56" s="1"/>
  <c r="A21" i="56" s="1"/>
  <c r="A22" i="56" s="1"/>
  <c r="A28" i="56" s="1"/>
  <c r="A29" i="56" s="1"/>
  <c r="A30" i="56" s="1"/>
  <c r="A31" i="56" s="1"/>
  <c r="A32" i="56" s="1"/>
  <c r="A33" i="56" s="1"/>
  <c r="A34" i="56" s="1"/>
  <c r="A35" i="56" s="1"/>
  <c r="A36" i="56" s="1"/>
  <c r="A37" i="56" s="1"/>
  <c r="A38" i="56" s="1"/>
  <c r="A39" i="56" s="1"/>
  <c r="A40" i="56" s="1"/>
  <c r="A41" i="56" s="1"/>
  <c r="A42" i="56" s="1"/>
  <c r="D44" i="56" l="1"/>
  <c r="H44" i="56"/>
  <c r="L44" i="56"/>
  <c r="P22" i="56"/>
  <c r="F42" i="6" s="1"/>
  <c r="I42" i="6" s="1"/>
  <c r="P42" i="56"/>
  <c r="G44" i="56"/>
  <c r="K44" i="56"/>
  <c r="O44" i="56"/>
  <c r="C44" i="56"/>
  <c r="P44" i="56" l="1"/>
  <c r="J33" i="6"/>
  <c r="I12" i="1"/>
  <c r="A8" i="54" l="1"/>
  <c r="A10" i="54" s="1"/>
  <c r="A11" i="54" s="1"/>
  <c r="A12" i="54" s="1"/>
  <c r="A14" i="54" s="1"/>
  <c r="A15" i="54" s="1"/>
  <c r="A16" i="54" s="1"/>
  <c r="A18" i="54" s="1"/>
  <c r="A20" i="54" s="1"/>
  <c r="A22" i="54" s="1"/>
  <c r="A23" i="54" s="1"/>
  <c r="A24" i="54" s="1"/>
  <c r="A29" i="54" s="1"/>
  <c r="A30" i="54" s="1"/>
  <c r="A32" i="54" s="1"/>
  <c r="A33" i="54" s="1"/>
  <c r="A34" i="54" s="1"/>
  <c r="A36" i="54" s="1"/>
  <c r="A37" i="54" s="1"/>
  <c r="A38" i="54" s="1"/>
  <c r="A40" i="54" s="1"/>
  <c r="A42" i="54" s="1"/>
  <c r="A44" i="54" s="1"/>
  <c r="A45" i="54" s="1"/>
  <c r="A46" i="54" s="1"/>
  <c r="J37" i="52" l="1"/>
  <c r="J36" i="52"/>
  <c r="J35" i="52"/>
  <c r="J34" i="52"/>
  <c r="J33" i="52"/>
  <c r="J32" i="52"/>
  <c r="J31" i="52"/>
  <c r="J30" i="52"/>
  <c r="J29" i="52"/>
  <c r="J28" i="52"/>
  <c r="J27" i="52"/>
  <c r="J26" i="52"/>
  <c r="J65" i="52"/>
  <c r="J66" i="52" s="1"/>
  <c r="J44" i="52"/>
  <c r="J52" i="52" s="1"/>
  <c r="J95" i="52"/>
  <c r="J94" i="52"/>
  <c r="J93" i="52"/>
  <c r="J92" i="52"/>
  <c r="J91" i="52"/>
  <c r="J90" i="52"/>
  <c r="J89" i="52"/>
  <c r="J88" i="52"/>
  <c r="J87" i="52"/>
  <c r="J86" i="52"/>
  <c r="J85" i="52"/>
  <c r="J84" i="52"/>
  <c r="J83" i="52"/>
  <c r="J82" i="52"/>
  <c r="J81" i="52"/>
  <c r="J80" i="52"/>
  <c r="J79" i="52"/>
  <c r="J78" i="52"/>
  <c r="J77" i="52"/>
  <c r="J69" i="52"/>
  <c r="K96" i="52"/>
  <c r="H96" i="52"/>
  <c r="D110" i="52" l="1"/>
  <c r="F110" i="52" s="1"/>
  <c r="K110" i="52" s="1"/>
  <c r="F123" i="52" s="1"/>
  <c r="J12" i="6"/>
  <c r="J96" i="52"/>
  <c r="I96" i="52"/>
  <c r="G89" i="30" l="1"/>
  <c r="F89" i="30"/>
  <c r="C89" i="30"/>
  <c r="F78" i="30"/>
  <c r="E78" i="30"/>
  <c r="C78" i="30"/>
  <c r="G65" i="30"/>
  <c r="C65" i="30"/>
  <c r="F62" i="30"/>
  <c r="F65" i="30" s="1"/>
  <c r="D61" i="30"/>
  <c r="D87" i="30" l="1"/>
  <c r="E86" i="30"/>
  <c r="D13" i="30" s="1"/>
  <c r="D85" i="30"/>
  <c r="E84" i="30"/>
  <c r="D83" i="30"/>
  <c r="G78" i="30"/>
  <c r="D72" i="30"/>
  <c r="E24" i="5"/>
  <c r="D24" i="5"/>
  <c r="C24" i="5"/>
  <c r="D89" i="30" l="1"/>
  <c r="E89" i="30"/>
  <c r="D36" i="54" l="1"/>
  <c r="E36" i="54" s="1"/>
  <c r="D32" i="54"/>
  <c r="D30" i="54"/>
  <c r="E30" i="54" s="1"/>
  <c r="F30" i="54" s="1"/>
  <c r="G30" i="54" s="1"/>
  <c r="H30" i="54" s="1"/>
  <c r="I30" i="54" s="1"/>
  <c r="J30" i="54" s="1"/>
  <c r="K30" i="54" s="1"/>
  <c r="L30" i="54" s="1"/>
  <c r="M30" i="54" s="1"/>
  <c r="N30" i="54" s="1"/>
  <c r="P14" i="54"/>
  <c r="P10" i="54"/>
  <c r="P8" i="54"/>
  <c r="O30" i="54" l="1"/>
  <c r="P30" i="54" s="1"/>
  <c r="E32" i="54"/>
  <c r="F32" i="54" s="1"/>
  <c r="G32" i="54" s="1"/>
  <c r="F36" i="54"/>
  <c r="G36" i="54" l="1"/>
  <c r="H32" i="54"/>
  <c r="H36" i="54" l="1"/>
  <c r="I32" i="54"/>
  <c r="I36" i="54" l="1"/>
  <c r="J32" i="54"/>
  <c r="J36" i="54" l="1"/>
  <c r="K32" i="54"/>
  <c r="K36" i="54" l="1"/>
  <c r="L32" i="54"/>
  <c r="L36" i="54" l="1"/>
  <c r="M32" i="54"/>
  <c r="M36" i="54" l="1"/>
  <c r="N32" i="54"/>
  <c r="O32" i="54" s="1"/>
  <c r="P32" i="54" s="1"/>
  <c r="N36" i="54" l="1"/>
  <c r="O36" i="54" s="1"/>
  <c r="P36" i="54" s="1"/>
  <c r="D45" i="54" l="1"/>
  <c r="E45" i="54" s="1"/>
  <c r="F45" i="54" s="1"/>
  <c r="G45" i="54" s="1"/>
  <c r="H45" i="54" s="1"/>
  <c r="I45" i="54" s="1"/>
  <c r="J45" i="54" s="1"/>
  <c r="K45" i="54" s="1"/>
  <c r="L45" i="54" s="1"/>
  <c r="M45" i="54" s="1"/>
  <c r="N45" i="54" s="1"/>
  <c r="O45" i="54" s="1"/>
  <c r="P45" i="54" s="1"/>
  <c r="D44" i="54"/>
  <c r="E44" i="54" s="1"/>
  <c r="D42" i="54"/>
  <c r="E42" i="54" s="1"/>
  <c r="C46" i="54"/>
  <c r="B3" i="55"/>
  <c r="D24" i="54"/>
  <c r="E24" i="54"/>
  <c r="F24" i="54"/>
  <c r="G24" i="54"/>
  <c r="H24" i="54"/>
  <c r="I24" i="54"/>
  <c r="J24" i="54"/>
  <c r="K24" i="54"/>
  <c r="L24" i="54"/>
  <c r="M24" i="54"/>
  <c r="N24" i="54"/>
  <c r="O24" i="54"/>
  <c r="P23" i="54"/>
  <c r="P22" i="54"/>
  <c r="P20" i="54"/>
  <c r="I44" i="6"/>
  <c r="D46" i="54" l="1"/>
  <c r="E46" i="54"/>
  <c r="F44" i="54"/>
  <c r="F42" i="54"/>
  <c r="G42" i="54" s="1"/>
  <c r="H42" i="54" s="1"/>
  <c r="I42" i="54" s="1"/>
  <c r="J42" i="54" s="1"/>
  <c r="K42" i="54" s="1"/>
  <c r="L42" i="54" s="1"/>
  <c r="M42" i="54" s="1"/>
  <c r="N42" i="54" s="1"/>
  <c r="O42" i="54" s="1"/>
  <c r="P42" i="54" s="1"/>
  <c r="D81" i="1" s="1"/>
  <c r="P24" i="54"/>
  <c r="F46" i="54" l="1"/>
  <c r="G44" i="54"/>
  <c r="G46" i="54" l="1"/>
  <c r="H44" i="54"/>
  <c r="I44" i="54" l="1"/>
  <c r="H46" i="54"/>
  <c r="C21" i="17"/>
  <c r="D20" i="17" l="1"/>
  <c r="D19" i="17"/>
  <c r="I46" i="54"/>
  <c r="J44" i="54"/>
  <c r="F51" i="1"/>
  <c r="J46" i="54" l="1"/>
  <c r="K44" i="54"/>
  <c r="K46" i="54" l="1"/>
  <c r="L44" i="54"/>
  <c r="I38" i="52"/>
  <c r="K23" i="52"/>
  <c r="I23" i="52"/>
  <c r="J22" i="52"/>
  <c r="J21" i="52"/>
  <c r="J20" i="52"/>
  <c r="J19" i="52"/>
  <c r="J18" i="52"/>
  <c r="J17" i="52"/>
  <c r="J15" i="52"/>
  <c r="D108" i="52" l="1"/>
  <c r="F108" i="52" s="1"/>
  <c r="H108" i="52" s="1"/>
  <c r="L108" i="52" s="1"/>
  <c r="I12" i="6"/>
  <c r="M44" i="54"/>
  <c r="L46" i="54"/>
  <c r="H23" i="52"/>
  <c r="J16" i="52"/>
  <c r="J38" i="52"/>
  <c r="H38" i="52"/>
  <c r="K108" i="52" l="1"/>
  <c r="F121" i="52" s="1"/>
  <c r="M46" i="54"/>
  <c r="N44" i="54"/>
  <c r="O44" i="54" s="1"/>
  <c r="P44" i="54" s="1"/>
  <c r="J23" i="52"/>
  <c r="N46" i="54" l="1"/>
  <c r="F11" i="17"/>
  <c r="F10" i="17"/>
  <c r="C3" i="17"/>
  <c r="C41" i="7"/>
  <c r="B41" i="7"/>
  <c r="E26" i="7"/>
  <c r="F41" i="7" s="1"/>
  <c r="F42" i="7" s="1"/>
  <c r="F43" i="7" s="1"/>
  <c r="F44" i="7" s="1"/>
  <c r="F45" i="7" s="1"/>
  <c r="F46" i="7" s="1"/>
  <c r="F47" i="7" s="1"/>
  <c r="E24" i="32"/>
  <c r="D118" i="1" s="1"/>
  <c r="A11" i="32"/>
  <c r="A12" i="32" s="1"/>
  <c r="A13" i="32" s="1"/>
  <c r="A14" i="32" s="1"/>
  <c r="A15" i="32" s="1"/>
  <c r="A16" i="32" s="1"/>
  <c r="A17" i="32" s="1"/>
  <c r="A18" i="32" s="1"/>
  <c r="A19" i="32" s="1"/>
  <c r="A20" i="32" s="1"/>
  <c r="A21" i="32" s="1"/>
  <c r="A22" i="32" s="1"/>
  <c r="A23" i="32" s="1"/>
  <c r="A24" i="32" s="1"/>
  <c r="A26" i="32" s="1"/>
  <c r="A27" i="32" s="1"/>
  <c r="A28" i="32" s="1"/>
  <c r="D91" i="30"/>
  <c r="E80" i="30"/>
  <c r="D71" i="30"/>
  <c r="D70" i="30"/>
  <c r="E60" i="30"/>
  <c r="E59" i="30"/>
  <c r="D58" i="30"/>
  <c r="D65" i="30" s="1"/>
  <c r="D67" i="30" s="1"/>
  <c r="D54" i="30"/>
  <c r="F52" i="30"/>
  <c r="F51" i="30"/>
  <c r="A7" i="30"/>
  <c r="A8" i="30" s="1"/>
  <c r="A12" i="30" s="1"/>
  <c r="A13" i="30" s="1"/>
  <c r="A14" i="30" s="1"/>
  <c r="A15" i="30" s="1"/>
  <c r="A16" i="30" s="1"/>
  <c r="A17" i="30" s="1"/>
  <c r="A18" i="30" s="1"/>
  <c r="A19" i="30" s="1"/>
  <c r="A20" i="30" s="1"/>
  <c r="A22" i="30" s="1"/>
  <c r="A23" i="30" s="1"/>
  <c r="A24" i="30" s="1"/>
  <c r="C14" i="1" s="1"/>
  <c r="G205" i="1"/>
  <c r="H14" i="16" s="1"/>
  <c r="J37" i="6"/>
  <c r="F44" i="6" s="1"/>
  <c r="G203" i="1"/>
  <c r="H12" i="16" s="1"/>
  <c r="A29" i="6"/>
  <c r="A31" i="6" s="1"/>
  <c r="A33" i="6" s="1"/>
  <c r="A34" i="6" s="1"/>
  <c r="A35" i="6" s="1"/>
  <c r="A36" i="6" s="1"/>
  <c r="A37" i="6" s="1"/>
  <c r="A42" i="6" s="1"/>
  <c r="A43" i="6" s="1"/>
  <c r="A44" i="6" s="1"/>
  <c r="A45" i="6" s="1"/>
  <c r="D145" i="1"/>
  <c r="D143" i="1"/>
  <c r="H12" i="6"/>
  <c r="D121" i="1" s="1"/>
  <c r="I117" i="1"/>
  <c r="G3" i="6"/>
  <c r="G25" i="6" s="1"/>
  <c r="D85" i="49"/>
  <c r="C85" i="49"/>
  <c r="D84" i="49"/>
  <c r="C84" i="49"/>
  <c r="D83" i="49"/>
  <c r="C83" i="49"/>
  <c r="D82" i="49"/>
  <c r="C82" i="49"/>
  <c r="D81" i="49"/>
  <c r="C81" i="49"/>
  <c r="D80" i="49"/>
  <c r="C80" i="49"/>
  <c r="D79" i="49"/>
  <c r="C79" i="49"/>
  <c r="D78" i="49"/>
  <c r="C78" i="49"/>
  <c r="D77" i="49"/>
  <c r="D76" i="49"/>
  <c r="D75" i="49"/>
  <c r="C75" i="49"/>
  <c r="D74" i="49"/>
  <c r="C74" i="49"/>
  <c r="G69" i="49"/>
  <c r="F69" i="49"/>
  <c r="E69" i="49"/>
  <c r="D69" i="49"/>
  <c r="C69" i="49"/>
  <c r="G68" i="49"/>
  <c r="F68" i="49"/>
  <c r="E68" i="49"/>
  <c r="D68" i="49"/>
  <c r="C68" i="49"/>
  <c r="G67" i="49"/>
  <c r="F67" i="49"/>
  <c r="E67" i="49"/>
  <c r="D67" i="49"/>
  <c r="C67" i="49"/>
  <c r="G66" i="49"/>
  <c r="F66" i="49"/>
  <c r="E66" i="49"/>
  <c r="D66" i="49"/>
  <c r="C66" i="49"/>
  <c r="G65" i="49"/>
  <c r="F65" i="49"/>
  <c r="E65" i="49"/>
  <c r="D65" i="49"/>
  <c r="C65" i="49"/>
  <c r="G64" i="49"/>
  <c r="F64" i="49"/>
  <c r="E64" i="49"/>
  <c r="D64" i="49"/>
  <c r="C64" i="49"/>
  <c r="G63" i="49"/>
  <c r="F63" i="49"/>
  <c r="E63" i="49"/>
  <c r="D63" i="49"/>
  <c r="C63" i="49"/>
  <c r="G62" i="49"/>
  <c r="F62" i="49"/>
  <c r="E62" i="49"/>
  <c r="D62" i="49"/>
  <c r="C62" i="49"/>
  <c r="G61" i="49"/>
  <c r="F61" i="49"/>
  <c r="E61" i="49"/>
  <c r="D61" i="49"/>
  <c r="C61" i="49"/>
  <c r="G60" i="49"/>
  <c r="F60" i="49"/>
  <c r="E60" i="49"/>
  <c r="D60" i="49"/>
  <c r="G59" i="49"/>
  <c r="F59" i="49"/>
  <c r="E59" i="49"/>
  <c r="D59" i="49"/>
  <c r="C59" i="49"/>
  <c r="G58" i="49"/>
  <c r="F58" i="49"/>
  <c r="E58" i="49"/>
  <c r="D58" i="49"/>
  <c r="C58" i="49"/>
  <c r="G57" i="49"/>
  <c r="F57" i="49"/>
  <c r="E57" i="49"/>
  <c r="D57" i="49"/>
  <c r="C57" i="49"/>
  <c r="A54" i="49"/>
  <c r="D51" i="49"/>
  <c r="H50" i="49"/>
  <c r="H49" i="49"/>
  <c r="H48" i="49"/>
  <c r="H47" i="49"/>
  <c r="H46" i="49"/>
  <c r="H45" i="49"/>
  <c r="H44" i="49"/>
  <c r="H43" i="49"/>
  <c r="H42" i="49"/>
  <c r="H41" i="49"/>
  <c r="C77" i="49"/>
  <c r="H40" i="49"/>
  <c r="H39" i="49"/>
  <c r="H38" i="49"/>
  <c r="D34" i="49"/>
  <c r="H33" i="49"/>
  <c r="H32" i="49"/>
  <c r="H31" i="49"/>
  <c r="H30" i="49"/>
  <c r="H29" i="49"/>
  <c r="H28" i="49"/>
  <c r="H27" i="49"/>
  <c r="H26" i="49"/>
  <c r="H25" i="49"/>
  <c r="H24" i="49"/>
  <c r="H23" i="49"/>
  <c r="H22" i="49"/>
  <c r="H21" i="49"/>
  <c r="D20" i="49"/>
  <c r="D37" i="49" s="1"/>
  <c r="D56" i="49" s="1"/>
  <c r="D73" i="49" s="1"/>
  <c r="C20" i="49"/>
  <c r="C37" i="49" s="1"/>
  <c r="C56" i="49" s="1"/>
  <c r="C73" i="49" s="1"/>
  <c r="C17" i="49"/>
  <c r="H16" i="49"/>
  <c r="H15" i="49"/>
  <c r="H14" i="49"/>
  <c r="H13" i="49"/>
  <c r="H12" i="49"/>
  <c r="H11" i="49"/>
  <c r="H10" i="49"/>
  <c r="H8" i="49"/>
  <c r="A8" i="49"/>
  <c r="A9" i="49" s="1"/>
  <c r="A10" i="49" s="1"/>
  <c r="A11" i="49" s="1"/>
  <c r="A12" i="49" s="1"/>
  <c r="A13" i="49" s="1"/>
  <c r="A14" i="49" s="1"/>
  <c r="A15" i="49" s="1"/>
  <c r="A16" i="49" s="1"/>
  <c r="A17" i="49" s="1"/>
  <c r="A21" i="49" s="1"/>
  <c r="A22" i="49" s="1"/>
  <c r="A23" i="49" s="1"/>
  <c r="A24" i="49" s="1"/>
  <c r="A25" i="49" s="1"/>
  <c r="A26" i="49" s="1"/>
  <c r="A27" i="49" s="1"/>
  <c r="A28" i="49" s="1"/>
  <c r="A29" i="49" s="1"/>
  <c r="A30" i="49" s="1"/>
  <c r="A31" i="49" s="1"/>
  <c r="A32" i="49" s="1"/>
  <c r="A33" i="49" s="1"/>
  <c r="A34" i="49" s="1"/>
  <c r="A38" i="49" s="1"/>
  <c r="A39" i="49" s="1"/>
  <c r="A40" i="49" s="1"/>
  <c r="A41" i="49" s="1"/>
  <c r="A42" i="49" s="1"/>
  <c r="A43" i="49" s="1"/>
  <c r="A44" i="49" s="1"/>
  <c r="A45" i="49" s="1"/>
  <c r="A46" i="49" s="1"/>
  <c r="A47" i="49" s="1"/>
  <c r="A48" i="49" s="1"/>
  <c r="A49" i="49" s="1"/>
  <c r="A50" i="49" s="1"/>
  <c r="A51" i="49" s="1"/>
  <c r="A57" i="49" s="1"/>
  <c r="A58" i="49" s="1"/>
  <c r="A59" i="49" s="1"/>
  <c r="A60" i="49" s="1"/>
  <c r="A61" i="49" s="1"/>
  <c r="A62" i="49" s="1"/>
  <c r="A63" i="49" s="1"/>
  <c r="A64" i="49" s="1"/>
  <c r="A65" i="49" s="1"/>
  <c r="A66" i="49" s="1"/>
  <c r="A67" i="49" s="1"/>
  <c r="A68" i="49" s="1"/>
  <c r="A69" i="49" s="1"/>
  <c r="A70" i="49" s="1"/>
  <c r="A74" i="49" s="1"/>
  <c r="A75" i="49" s="1"/>
  <c r="A76" i="49" s="1"/>
  <c r="A77" i="49" s="1"/>
  <c r="A78" i="49" s="1"/>
  <c r="A79" i="49" s="1"/>
  <c r="A80" i="49" s="1"/>
  <c r="A81" i="49" s="1"/>
  <c r="A82" i="49" s="1"/>
  <c r="A83" i="49" s="1"/>
  <c r="A84" i="49" s="1"/>
  <c r="A85" i="49" s="1"/>
  <c r="A86" i="49" s="1"/>
  <c r="H7" i="49"/>
  <c r="C105" i="33"/>
  <c r="G104" i="33"/>
  <c r="G103" i="33"/>
  <c r="G102" i="33"/>
  <c r="G101" i="33"/>
  <c r="G100" i="33"/>
  <c r="G99" i="33"/>
  <c r="G98" i="33"/>
  <c r="G97" i="33"/>
  <c r="G96" i="33"/>
  <c r="E93" i="33"/>
  <c r="G93" i="33" s="1"/>
  <c r="E92" i="33"/>
  <c r="G92" i="33" s="1"/>
  <c r="E91" i="33"/>
  <c r="G91" i="33" s="1"/>
  <c r="E90" i="33"/>
  <c r="G90" i="33" s="1"/>
  <c r="E89" i="33"/>
  <c r="G89" i="33" s="1"/>
  <c r="D88" i="33"/>
  <c r="D105" i="33" s="1"/>
  <c r="E111" i="52" s="1"/>
  <c r="F111" i="52" s="1"/>
  <c r="F87" i="33"/>
  <c r="G87" i="33" s="1"/>
  <c r="T79" i="33"/>
  <c r="O79" i="33"/>
  <c r="N79" i="33"/>
  <c r="M79" i="33"/>
  <c r="L79" i="33"/>
  <c r="K79" i="33"/>
  <c r="J79" i="33"/>
  <c r="I79" i="33"/>
  <c r="H79" i="33"/>
  <c r="G79" i="33"/>
  <c r="F79" i="33"/>
  <c r="E79" i="33"/>
  <c r="D79" i="33"/>
  <c r="C79" i="33"/>
  <c r="T78" i="33"/>
  <c r="O78" i="33"/>
  <c r="N78" i="33"/>
  <c r="M78" i="33"/>
  <c r="L78" i="33"/>
  <c r="K78" i="33"/>
  <c r="J78" i="33"/>
  <c r="I78" i="33"/>
  <c r="H78" i="33"/>
  <c r="G78" i="33"/>
  <c r="F78" i="33"/>
  <c r="E78" i="33"/>
  <c r="D78" i="33"/>
  <c r="C78" i="33"/>
  <c r="T77" i="33"/>
  <c r="O77" i="33"/>
  <c r="N77" i="33"/>
  <c r="M77" i="33"/>
  <c r="L77" i="33"/>
  <c r="K77" i="33"/>
  <c r="J77" i="33"/>
  <c r="I77" i="33"/>
  <c r="H77" i="33"/>
  <c r="G77" i="33"/>
  <c r="F77" i="33"/>
  <c r="E77" i="33"/>
  <c r="D77" i="33"/>
  <c r="C77" i="33"/>
  <c r="T76" i="33"/>
  <c r="O76" i="33"/>
  <c r="N76" i="33"/>
  <c r="M76" i="33"/>
  <c r="L76" i="33"/>
  <c r="K76" i="33"/>
  <c r="J76" i="33"/>
  <c r="I76" i="33"/>
  <c r="H76" i="33"/>
  <c r="G76" i="33"/>
  <c r="F76" i="33"/>
  <c r="E76" i="33"/>
  <c r="D76" i="33"/>
  <c r="C76" i="33"/>
  <c r="T75" i="33"/>
  <c r="O75" i="33"/>
  <c r="N75" i="33"/>
  <c r="M75" i="33"/>
  <c r="L75" i="33"/>
  <c r="K75" i="33"/>
  <c r="J75" i="33"/>
  <c r="I75" i="33"/>
  <c r="H75" i="33"/>
  <c r="G75" i="33"/>
  <c r="F75" i="33"/>
  <c r="E75" i="33"/>
  <c r="D75" i="33"/>
  <c r="C75" i="33"/>
  <c r="T74" i="33"/>
  <c r="O74" i="33"/>
  <c r="N74" i="33"/>
  <c r="M74" i="33"/>
  <c r="L74" i="33"/>
  <c r="K74" i="33"/>
  <c r="J74" i="33"/>
  <c r="I74" i="33"/>
  <c r="H74" i="33"/>
  <c r="G74" i="33"/>
  <c r="F74" i="33"/>
  <c r="E74" i="33"/>
  <c r="D74" i="33"/>
  <c r="C74" i="33"/>
  <c r="T73" i="33"/>
  <c r="O73" i="33"/>
  <c r="N73" i="33"/>
  <c r="M73" i="33"/>
  <c r="L73" i="33"/>
  <c r="K73" i="33"/>
  <c r="J73" i="33"/>
  <c r="I73" i="33"/>
  <c r="H73" i="33"/>
  <c r="G73" i="33"/>
  <c r="F73" i="33"/>
  <c r="E73" i="33"/>
  <c r="D73" i="33"/>
  <c r="C73" i="33"/>
  <c r="T72" i="33"/>
  <c r="O72" i="33"/>
  <c r="N72" i="33"/>
  <c r="M72" i="33"/>
  <c r="L72" i="33"/>
  <c r="K72" i="33"/>
  <c r="J72" i="33"/>
  <c r="I72" i="33"/>
  <c r="H72" i="33"/>
  <c r="G72" i="33"/>
  <c r="F72" i="33"/>
  <c r="E72" i="33"/>
  <c r="D72" i="33"/>
  <c r="C72" i="33"/>
  <c r="O71" i="33"/>
  <c r="N71" i="33"/>
  <c r="M71" i="33"/>
  <c r="L71" i="33"/>
  <c r="K71" i="33"/>
  <c r="J71" i="33"/>
  <c r="I71" i="33"/>
  <c r="H71" i="33"/>
  <c r="G71" i="33"/>
  <c r="F71" i="33"/>
  <c r="E71" i="33"/>
  <c r="D71" i="33"/>
  <c r="C71" i="33"/>
  <c r="M70" i="33"/>
  <c r="L70" i="33"/>
  <c r="K70" i="33"/>
  <c r="J70" i="33"/>
  <c r="I70" i="33"/>
  <c r="H70" i="33"/>
  <c r="G70" i="33"/>
  <c r="F70" i="33"/>
  <c r="E70" i="33"/>
  <c r="D70" i="33"/>
  <c r="C70" i="33"/>
  <c r="O69" i="33"/>
  <c r="N69" i="33"/>
  <c r="M69" i="33"/>
  <c r="L69" i="33"/>
  <c r="K69" i="33"/>
  <c r="J69" i="33"/>
  <c r="I69" i="33"/>
  <c r="H69" i="33"/>
  <c r="G69" i="33"/>
  <c r="F69" i="33"/>
  <c r="E69" i="33"/>
  <c r="D69" i="33"/>
  <c r="C69" i="33"/>
  <c r="O68" i="33"/>
  <c r="N68" i="33"/>
  <c r="M68" i="33"/>
  <c r="L68" i="33"/>
  <c r="K68" i="33"/>
  <c r="J68" i="33"/>
  <c r="I68" i="33"/>
  <c r="H68" i="33"/>
  <c r="G68" i="33"/>
  <c r="F68" i="33"/>
  <c r="E68" i="33"/>
  <c r="D68" i="33"/>
  <c r="C68" i="33"/>
  <c r="O67" i="33"/>
  <c r="N67" i="33"/>
  <c r="M67" i="33"/>
  <c r="L67" i="33"/>
  <c r="K67" i="33"/>
  <c r="J67" i="33"/>
  <c r="I67" i="33"/>
  <c r="H67" i="33"/>
  <c r="G67" i="33"/>
  <c r="F67" i="33"/>
  <c r="E67" i="33"/>
  <c r="D67" i="33"/>
  <c r="C67" i="33"/>
  <c r="M66" i="33"/>
  <c r="L66" i="33"/>
  <c r="K66" i="33"/>
  <c r="J66" i="33"/>
  <c r="I66" i="33"/>
  <c r="H66" i="33"/>
  <c r="G66" i="33"/>
  <c r="F66" i="33"/>
  <c r="E66" i="33"/>
  <c r="D66" i="33"/>
  <c r="C66" i="33"/>
  <c r="O65" i="33"/>
  <c r="N65" i="33"/>
  <c r="M65" i="33"/>
  <c r="L65" i="33"/>
  <c r="K65" i="33"/>
  <c r="J65" i="33"/>
  <c r="I65" i="33"/>
  <c r="H65" i="33"/>
  <c r="G65" i="33"/>
  <c r="F65" i="33"/>
  <c r="E65" i="33"/>
  <c r="D65" i="33"/>
  <c r="C65" i="33"/>
  <c r="O64" i="33"/>
  <c r="N64" i="33"/>
  <c r="M64" i="33"/>
  <c r="L64" i="33"/>
  <c r="K64" i="33"/>
  <c r="J64" i="33"/>
  <c r="I64" i="33"/>
  <c r="H64" i="33"/>
  <c r="G64" i="33"/>
  <c r="F64" i="33"/>
  <c r="E64" i="33"/>
  <c r="D64" i="33"/>
  <c r="C64" i="33"/>
  <c r="O63" i="33"/>
  <c r="N63" i="33"/>
  <c r="M63" i="33"/>
  <c r="L63" i="33"/>
  <c r="K63" i="33"/>
  <c r="J63" i="33"/>
  <c r="I63" i="33"/>
  <c r="H63" i="33"/>
  <c r="G63" i="33"/>
  <c r="F63" i="33"/>
  <c r="E63" i="33"/>
  <c r="D63" i="33"/>
  <c r="C63" i="33"/>
  <c r="O62" i="33"/>
  <c r="N62" i="33"/>
  <c r="M62" i="33"/>
  <c r="L62" i="33"/>
  <c r="K62" i="33"/>
  <c r="J62" i="33"/>
  <c r="I62" i="33"/>
  <c r="H62" i="33"/>
  <c r="G62" i="33"/>
  <c r="F62" i="33"/>
  <c r="E62" i="33"/>
  <c r="D62" i="33"/>
  <c r="C62" i="33"/>
  <c r="B61" i="33"/>
  <c r="R53" i="33"/>
  <c r="R81" i="33" s="1"/>
  <c r="E106" i="33" s="1"/>
  <c r="Q53" i="33"/>
  <c r="Q81" i="33" s="1"/>
  <c r="D106" i="33" s="1"/>
  <c r="M52" i="33"/>
  <c r="L52" i="33"/>
  <c r="K52" i="33"/>
  <c r="J52" i="33"/>
  <c r="I52" i="33"/>
  <c r="H52" i="33"/>
  <c r="G52" i="33"/>
  <c r="F52" i="33"/>
  <c r="E52" i="33"/>
  <c r="D52" i="33"/>
  <c r="C52" i="33"/>
  <c r="T51" i="33"/>
  <c r="T50" i="33"/>
  <c r="T49" i="33"/>
  <c r="T48" i="33"/>
  <c r="T47" i="33"/>
  <c r="T46" i="33"/>
  <c r="T45" i="33"/>
  <c r="T44" i="33"/>
  <c r="T43" i="33"/>
  <c r="T41" i="33"/>
  <c r="P40" i="33"/>
  <c r="R40" i="33" s="1"/>
  <c r="T40" i="33" s="1"/>
  <c r="P39" i="33"/>
  <c r="R39" i="33" s="1"/>
  <c r="T39" i="33" s="1"/>
  <c r="P37" i="33"/>
  <c r="R37" i="33" s="1"/>
  <c r="T37" i="33" s="1"/>
  <c r="P36" i="33"/>
  <c r="R36" i="33" s="1"/>
  <c r="P35" i="33"/>
  <c r="Q35" i="33" s="1"/>
  <c r="T35" i="33" s="1"/>
  <c r="P34" i="33"/>
  <c r="S34" i="33" s="1"/>
  <c r="M27" i="33"/>
  <c r="L27" i="33"/>
  <c r="K27" i="33"/>
  <c r="J27" i="33"/>
  <c r="I27" i="33"/>
  <c r="H27" i="33"/>
  <c r="G27" i="33"/>
  <c r="F27" i="33"/>
  <c r="E27" i="33"/>
  <c r="D27" i="33"/>
  <c r="T26" i="33"/>
  <c r="T25" i="33"/>
  <c r="T24" i="33"/>
  <c r="T23" i="33"/>
  <c r="T22" i="33"/>
  <c r="T21" i="33"/>
  <c r="T20" i="33"/>
  <c r="T19" i="33"/>
  <c r="T18" i="33"/>
  <c r="P15" i="33"/>
  <c r="R15" i="33" s="1"/>
  <c r="T15" i="33" s="1"/>
  <c r="P14" i="33"/>
  <c r="R14" i="33" s="1"/>
  <c r="T14" i="33" s="1"/>
  <c r="P12" i="33"/>
  <c r="R12" i="33" s="1"/>
  <c r="T12" i="33" s="1"/>
  <c r="P11" i="33"/>
  <c r="R11" i="33" s="1"/>
  <c r="T11" i="33" s="1"/>
  <c r="P10" i="33"/>
  <c r="Q10" i="33" s="1"/>
  <c r="A10" i="33"/>
  <c r="A11" i="33" s="1"/>
  <c r="A12" i="33" s="1"/>
  <c r="A13" i="33" s="1"/>
  <c r="A14" i="33" s="1"/>
  <c r="A15" i="33" s="1"/>
  <c r="A16" i="33" s="1"/>
  <c r="A17" i="33" s="1"/>
  <c r="A18" i="33" s="1"/>
  <c r="A19" i="33" s="1"/>
  <c r="A20" i="33" s="1"/>
  <c r="A21" i="33" s="1"/>
  <c r="A22" i="33" s="1"/>
  <c r="A23" i="33" s="1"/>
  <c r="A24" i="33" s="1"/>
  <c r="A25" i="33" s="1"/>
  <c r="A26" i="33" s="1"/>
  <c r="A27" i="33" s="1"/>
  <c r="A28" i="33" s="1"/>
  <c r="A29"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P9" i="33"/>
  <c r="S9" i="33" s="1"/>
  <c r="S27" i="33" s="1"/>
  <c r="G168" i="29"/>
  <c r="F168" i="29"/>
  <c r="F171" i="29" s="1"/>
  <c r="I83" i="27" s="1"/>
  <c r="E168" i="29"/>
  <c r="E171" i="29" s="1"/>
  <c r="D168" i="29"/>
  <c r="D171" i="29" s="1"/>
  <c r="C168" i="29"/>
  <c r="G108" i="29"/>
  <c r="G111" i="29" s="1"/>
  <c r="K77" i="27" s="1"/>
  <c r="F108" i="29"/>
  <c r="F111" i="29" s="1"/>
  <c r="E108" i="29"/>
  <c r="D108" i="29"/>
  <c r="D111" i="29" s="1"/>
  <c r="C108" i="29"/>
  <c r="G73" i="29"/>
  <c r="F73" i="29"/>
  <c r="F76" i="29" s="1"/>
  <c r="I95" i="27" s="1"/>
  <c r="E73" i="29"/>
  <c r="E76" i="29" s="1"/>
  <c r="G95" i="27" s="1"/>
  <c r="H95" i="27" s="1"/>
  <c r="D73" i="29"/>
  <c r="D76" i="29" s="1"/>
  <c r="C73" i="29"/>
  <c r="C83" i="27"/>
  <c r="C77" i="27"/>
  <c r="F57" i="27"/>
  <c r="C56" i="27"/>
  <c r="C39" i="27"/>
  <c r="F34" i="27"/>
  <c r="C33" i="27"/>
  <c r="C27" i="27"/>
  <c r="A17" i="27"/>
  <c r="A18" i="27" s="1"/>
  <c r="A19" i="27" s="1"/>
  <c r="A20" i="27" s="1"/>
  <c r="A21" i="27" s="1"/>
  <c r="A22" i="27" s="1"/>
  <c r="A23" i="27" s="1"/>
  <c r="A24" i="27" s="1"/>
  <c r="A25" i="27" s="1"/>
  <c r="A26" i="27" s="1"/>
  <c r="A27" i="27" s="1"/>
  <c r="A28" i="27" s="1"/>
  <c r="A29" i="27" s="1"/>
  <c r="A30" i="27" s="1"/>
  <c r="A32" i="27" s="1"/>
  <c r="A33" i="27" s="1"/>
  <c r="A34" i="27" s="1"/>
  <c r="A38" i="27" s="1"/>
  <c r="A39" i="27" s="1"/>
  <c r="A40" i="27" s="1"/>
  <c r="A44" i="27" s="1"/>
  <c r="A45" i="27" s="1"/>
  <c r="A46" i="27" s="1"/>
  <c r="A47" i="27" s="1"/>
  <c r="A48" i="27" s="1"/>
  <c r="A49" i="27" s="1"/>
  <c r="A50" i="27" s="1"/>
  <c r="A51" i="27" s="1"/>
  <c r="A52" i="27" s="1"/>
  <c r="A53" i="27" s="1"/>
  <c r="A54" i="27" s="1"/>
  <c r="A55" i="27" s="1"/>
  <c r="A56" i="27" s="1"/>
  <c r="A57" i="27" s="1"/>
  <c r="A60" i="27" s="1"/>
  <c r="A76" i="27" s="1"/>
  <c r="A77" i="27" s="1"/>
  <c r="A78" i="27" s="1"/>
  <c r="A82" i="27" s="1"/>
  <c r="A83" i="27" s="1"/>
  <c r="A84" i="27" s="1"/>
  <c r="A88" i="27" s="1"/>
  <c r="A89" i="27" s="1"/>
  <c r="A90" i="27" s="1"/>
  <c r="A94" i="27" s="1"/>
  <c r="A95" i="27" s="1"/>
  <c r="A96" i="27" s="1"/>
  <c r="G3" i="27"/>
  <c r="G65" i="27" s="1"/>
  <c r="D71" i="5"/>
  <c r="I70" i="5"/>
  <c r="F49" i="5"/>
  <c r="J44" i="5"/>
  <c r="I44" i="5"/>
  <c r="D83" i="1" s="1"/>
  <c r="E44" i="5"/>
  <c r="D76" i="1" s="1"/>
  <c r="D44" i="5"/>
  <c r="D88" i="1" s="1"/>
  <c r="I88" i="1" s="1"/>
  <c r="C44" i="5"/>
  <c r="D87" i="1" s="1"/>
  <c r="I87" i="1" s="1"/>
  <c r="L24" i="5"/>
  <c r="E123" i="52" s="1"/>
  <c r="G123" i="52" s="1"/>
  <c r="D61" i="1" s="1"/>
  <c r="K24" i="5"/>
  <c r="E122" i="52" s="1"/>
  <c r="J24" i="5"/>
  <c r="E121" i="52" s="1"/>
  <c r="G121" i="52" s="1"/>
  <c r="H24" i="5"/>
  <c r="D97" i="1" s="1"/>
  <c r="G24" i="5"/>
  <c r="D93" i="1" s="1"/>
  <c r="D51" i="1"/>
  <c r="D49" i="1"/>
  <c r="G3" i="5"/>
  <c r="B66" i="21"/>
  <c r="E19" i="16"/>
  <c r="E23" i="16" s="1"/>
  <c r="A9" i="16"/>
  <c r="A12" i="16" s="1"/>
  <c r="A13" i="16" s="1"/>
  <c r="A14" i="16" s="1"/>
  <c r="A15" i="16" s="1"/>
  <c r="A16" i="16" s="1"/>
  <c r="A18" i="16" s="1"/>
  <c r="A19" i="16" s="1"/>
  <c r="F5" i="16"/>
  <c r="E7" i="21" s="1"/>
  <c r="P95" i="2"/>
  <c r="I26" i="1" s="1"/>
  <c r="G56" i="2"/>
  <c r="G55" i="2"/>
  <c r="I34" i="2"/>
  <c r="L34" i="2" s="1"/>
  <c r="G7" i="2"/>
  <c r="G57" i="2" s="1"/>
  <c r="K216" i="1"/>
  <c r="G204" i="1"/>
  <c r="H13" i="16" s="1"/>
  <c r="D204" i="1"/>
  <c r="E13" i="16" s="1"/>
  <c r="D203" i="1"/>
  <c r="E12" i="16" s="1"/>
  <c r="G202" i="1"/>
  <c r="D197" i="1"/>
  <c r="G195" i="1"/>
  <c r="G193" i="1"/>
  <c r="A185" i="1"/>
  <c r="A186" i="1" s="1"/>
  <c r="A187" i="1" s="1"/>
  <c r="A189" i="1" s="1"/>
  <c r="A191" i="1" s="1"/>
  <c r="A193" i="1" s="1"/>
  <c r="A194" i="1" s="1"/>
  <c r="A195" i="1" s="1"/>
  <c r="A196" i="1" s="1"/>
  <c r="A197" i="1" s="1"/>
  <c r="K175" i="1"/>
  <c r="D152" i="1"/>
  <c r="C151" i="1"/>
  <c r="I149" i="1"/>
  <c r="D146" i="1"/>
  <c r="D144" i="1"/>
  <c r="D141" i="1"/>
  <c r="B141" i="1"/>
  <c r="D140" i="1"/>
  <c r="D135" i="1"/>
  <c r="I135" i="1" s="1"/>
  <c r="D133" i="1"/>
  <c r="D128" i="1"/>
  <c r="D120" i="1"/>
  <c r="I120" i="1" s="1"/>
  <c r="F115" i="1"/>
  <c r="F116" i="1" s="1"/>
  <c r="F117" i="1" s="1"/>
  <c r="A115" i="1"/>
  <c r="A116" i="1" s="1"/>
  <c r="A117" i="1" s="1"/>
  <c r="A118" i="1" s="1"/>
  <c r="A119" i="1" s="1"/>
  <c r="A120" i="1" s="1"/>
  <c r="A121" i="1" s="1"/>
  <c r="A122" i="1" s="1"/>
  <c r="A123" i="1" s="1"/>
  <c r="A124" i="1" s="1"/>
  <c r="A125" i="1" s="1"/>
  <c r="D114" i="1"/>
  <c r="K106" i="1"/>
  <c r="I90" i="1"/>
  <c r="I89" i="1"/>
  <c r="F89" i="1"/>
  <c r="F87" i="1"/>
  <c r="F85" i="1" s="1"/>
  <c r="F86" i="1"/>
  <c r="F149" i="1" s="1"/>
  <c r="G84" i="1"/>
  <c r="D68" i="1"/>
  <c r="I66" i="1"/>
  <c r="D66" i="1"/>
  <c r="G58" i="1"/>
  <c r="I58" i="1" s="1"/>
  <c r="F52" i="1"/>
  <c r="F61" i="1" s="1"/>
  <c r="F62" i="1" s="1"/>
  <c r="I48" i="1"/>
  <c r="D47" i="1"/>
  <c r="A47" i="1"/>
  <c r="A48" i="1" s="1"/>
  <c r="D39" i="1"/>
  <c r="D108" i="1" s="1"/>
  <c r="D177" i="1" s="1"/>
  <c r="K37" i="1"/>
  <c r="A14" i="1"/>
  <c r="A16" i="1" s="1"/>
  <c r="A18" i="1" s="1"/>
  <c r="A19" i="1" s="1"/>
  <c r="A20" i="1" s="1"/>
  <c r="A22" i="1" s="1"/>
  <c r="A23" i="1" s="1"/>
  <c r="A24" i="1" s="1"/>
  <c r="P71" i="33" l="1"/>
  <c r="R71" i="33" s="1"/>
  <c r="T71" i="33" s="1"/>
  <c r="D6" i="30"/>
  <c r="D32" i="30" s="1"/>
  <c r="F9" i="29"/>
  <c r="I77" i="27"/>
  <c r="G83" i="27"/>
  <c r="H83" i="27" s="1"/>
  <c r="J50" i="21"/>
  <c r="D156" i="1"/>
  <c r="E65" i="30"/>
  <c r="E67" i="30" s="1"/>
  <c r="P69" i="33"/>
  <c r="Q69" i="33" s="1"/>
  <c r="T69" i="33" s="1"/>
  <c r="I121" i="52"/>
  <c r="D57" i="1"/>
  <c r="D67" i="1" s="1"/>
  <c r="D78" i="30"/>
  <c r="D80" i="30" s="1"/>
  <c r="H111" i="52"/>
  <c r="C76" i="29"/>
  <c r="G76" i="29"/>
  <c r="D86" i="1"/>
  <c r="I86" i="1" s="1"/>
  <c r="I5" i="55"/>
  <c r="O46" i="54"/>
  <c r="F12" i="17"/>
  <c r="D123" i="1" s="1"/>
  <c r="H81" i="49"/>
  <c r="H83" i="49"/>
  <c r="H85" i="49"/>
  <c r="E91" i="30"/>
  <c r="G88" i="33"/>
  <c r="F54" i="30"/>
  <c r="I24" i="32"/>
  <c r="I27" i="32" s="1"/>
  <c r="F45" i="6"/>
  <c r="G43" i="6" s="1"/>
  <c r="D205" i="1"/>
  <c r="E14" i="16" s="1"/>
  <c r="E15" i="16" s="1"/>
  <c r="H57" i="49"/>
  <c r="A200" i="1"/>
  <c r="A201" i="1" s="1"/>
  <c r="A202" i="1" s="1"/>
  <c r="A203" i="1" s="1"/>
  <c r="A204" i="1" s="1"/>
  <c r="A205" i="1" s="1"/>
  <c r="A206" i="1" s="1"/>
  <c r="H77" i="49"/>
  <c r="H64" i="49"/>
  <c r="H66" i="49"/>
  <c r="H80" i="33"/>
  <c r="P63" i="33"/>
  <c r="Q63" i="33" s="1"/>
  <c r="H75" i="49"/>
  <c r="H84" i="49"/>
  <c r="H82" i="49"/>
  <c r="H79" i="49"/>
  <c r="H58" i="49"/>
  <c r="H65" i="49"/>
  <c r="D71" i="1"/>
  <c r="T36" i="33"/>
  <c r="G80" i="33"/>
  <c r="C76" i="49"/>
  <c r="H76" i="49" s="1"/>
  <c r="H80" i="49"/>
  <c r="I80" i="33"/>
  <c r="J80" i="33"/>
  <c r="P64" i="33"/>
  <c r="R64" i="33" s="1"/>
  <c r="T64" i="33" s="1"/>
  <c r="P65" i="33"/>
  <c r="R65" i="33" s="1"/>
  <c r="T65" i="33" s="1"/>
  <c r="E70" i="49"/>
  <c r="H62" i="49"/>
  <c r="H74" i="49"/>
  <c r="H78" i="49"/>
  <c r="D122" i="1"/>
  <c r="P62" i="33"/>
  <c r="S62" i="33" s="1"/>
  <c r="K80" i="33"/>
  <c r="H51" i="49"/>
  <c r="D62" i="1" s="1"/>
  <c r="F70" i="49"/>
  <c r="H59" i="49"/>
  <c r="H67" i="49"/>
  <c r="H68" i="49"/>
  <c r="D86" i="49"/>
  <c r="G24" i="32"/>
  <c r="I68" i="1"/>
  <c r="D147" i="1"/>
  <c r="D80" i="33"/>
  <c r="L80" i="33"/>
  <c r="P67" i="33"/>
  <c r="R67" i="33" s="1"/>
  <c r="T67" i="33" s="1"/>
  <c r="G70" i="49"/>
  <c r="H61" i="49"/>
  <c r="E80" i="33"/>
  <c r="M80" i="33"/>
  <c r="C51" i="49"/>
  <c r="H69" i="49"/>
  <c r="G196" i="1"/>
  <c r="F80" i="33"/>
  <c r="P68" i="33"/>
  <c r="R68" i="33" s="1"/>
  <c r="T68" i="33" s="1"/>
  <c r="H63" i="49"/>
  <c r="B1" i="32"/>
  <c r="B52" i="49"/>
  <c r="A1" i="49"/>
  <c r="B1" i="33"/>
  <c r="C55" i="33" s="1"/>
  <c r="D218" i="1"/>
  <c r="B23" i="16"/>
  <c r="A20" i="16"/>
  <c r="B27" i="16" s="1"/>
  <c r="A49" i="1"/>
  <c r="A127" i="1"/>
  <c r="A128" i="1" s="1"/>
  <c r="F24" i="5"/>
  <c r="D85" i="1" s="1"/>
  <c r="I85" i="1" s="1"/>
  <c r="F28" i="27"/>
  <c r="T34" i="33"/>
  <c r="S52" i="33"/>
  <c r="E125" i="52" s="1"/>
  <c r="B128" i="28"/>
  <c r="B86" i="29"/>
  <c r="B91" i="28"/>
  <c r="B122" i="29"/>
  <c r="B2" i="29"/>
  <c r="B2" i="28"/>
  <c r="G77" i="1"/>
  <c r="G78" i="1" s="1"/>
  <c r="H34" i="49"/>
  <c r="D52" i="1" s="1"/>
  <c r="I184" i="1"/>
  <c r="F48" i="7"/>
  <c r="F49" i="7" s="1"/>
  <c r="F50" i="7" s="1"/>
  <c r="F51" i="7" s="1"/>
  <c r="F52" i="7" s="1"/>
  <c r="F53" i="7" s="1"/>
  <c r="F54" i="7" s="1"/>
  <c r="F55" i="7" s="1"/>
  <c r="F56" i="7" s="1"/>
  <c r="F57" i="7" s="1"/>
  <c r="F58" i="7" s="1"/>
  <c r="F59" i="7" s="1"/>
  <c r="F60" i="7" s="1"/>
  <c r="F61" i="7" s="1"/>
  <c r="F62" i="7" s="1"/>
  <c r="F63" i="7" s="1"/>
  <c r="F64" i="7" s="1"/>
  <c r="F65" i="7" s="1"/>
  <c r="F66" i="7" s="1"/>
  <c r="F67" i="7" s="1"/>
  <c r="F68" i="7" s="1"/>
  <c r="D70" i="49"/>
  <c r="T10" i="33"/>
  <c r="C80" i="33"/>
  <c r="E105" i="33"/>
  <c r="D107" i="33"/>
  <c r="C60" i="49"/>
  <c r="H60" i="49" s="1"/>
  <c r="F105" i="33"/>
  <c r="E112" i="52" s="1"/>
  <c r="F112" i="52" s="1"/>
  <c r="C34" i="49"/>
  <c r="D12" i="30"/>
  <c r="H24" i="32"/>
  <c r="T9" i="33"/>
  <c r="E11" i="29"/>
  <c r="F11" i="29"/>
  <c r="E10" i="29"/>
  <c r="G9" i="29"/>
  <c r="F10" i="29"/>
  <c r="F69" i="7" l="1"/>
  <c r="G69" i="7" s="1"/>
  <c r="G68" i="7"/>
  <c r="D33" i="30"/>
  <c r="D34" i="30" s="1"/>
  <c r="D35" i="30" s="1"/>
  <c r="G11" i="29"/>
  <c r="K95" i="27"/>
  <c r="C11" i="29"/>
  <c r="F95" i="27"/>
  <c r="T63" i="33"/>
  <c r="E107" i="33"/>
  <c r="K64" i="52"/>
  <c r="K66" i="52" s="1"/>
  <c r="E113" i="52"/>
  <c r="P46" i="54"/>
  <c r="D82" i="1" s="1"/>
  <c r="I12" i="55"/>
  <c r="D206" i="1"/>
  <c r="G44" i="6"/>
  <c r="G42" i="6" s="1"/>
  <c r="E203" i="1" s="1"/>
  <c r="F12" i="16" s="1"/>
  <c r="J12" i="16" s="1"/>
  <c r="C86" i="49"/>
  <c r="H86" i="49" s="1"/>
  <c r="D134" i="1" s="1"/>
  <c r="C70" i="49"/>
  <c r="H70" i="49"/>
  <c r="I187" i="1"/>
  <c r="G105" i="33"/>
  <c r="G79" i="1"/>
  <c r="G80" i="1" s="1"/>
  <c r="G81" i="1" s="1"/>
  <c r="G83" i="1"/>
  <c r="I83" i="1" s="1"/>
  <c r="A129" i="1"/>
  <c r="A130" i="1" s="1"/>
  <c r="A133" i="1" s="1"/>
  <c r="A134" i="1" s="1"/>
  <c r="A135" i="1" s="1"/>
  <c r="A136" i="1" s="1"/>
  <c r="K43" i="6"/>
  <c r="I204" i="1" s="1"/>
  <c r="E204" i="1"/>
  <c r="F13" i="16" s="1"/>
  <c r="J13" i="16" s="1"/>
  <c r="A50" i="1"/>
  <c r="A21" i="16"/>
  <c r="A22" i="16" s="1"/>
  <c r="A23" i="16" s="1"/>
  <c r="D72" i="1"/>
  <c r="J24" i="32"/>
  <c r="J27" i="32" s="1"/>
  <c r="T62" i="33"/>
  <c r="S80" i="33"/>
  <c r="F12" i="29"/>
  <c r="I34" i="27"/>
  <c r="K28" i="27"/>
  <c r="K30" i="27" s="1"/>
  <c r="I189" i="1" l="1"/>
  <c r="G14" i="1" s="1"/>
  <c r="G82" i="1"/>
  <c r="I82" i="1" s="1"/>
  <c r="I81" i="1"/>
  <c r="D113" i="52"/>
  <c r="F113" i="52" s="1"/>
  <c r="M12" i="6"/>
  <c r="D132" i="1" s="1"/>
  <c r="K44" i="6"/>
  <c r="I205" i="1" s="1"/>
  <c r="K42" i="6"/>
  <c r="I203" i="1" s="1"/>
  <c r="E205" i="1"/>
  <c r="G34" i="27"/>
  <c r="A24" i="16"/>
  <c r="A25" i="16" s="1"/>
  <c r="A26" i="16" s="1"/>
  <c r="A27" i="16" s="1"/>
  <c r="A51" i="1"/>
  <c r="A138" i="1"/>
  <c r="A139" i="1" s="1"/>
  <c r="A140" i="1" s="1"/>
  <c r="C136" i="1"/>
  <c r="H34" i="27"/>
  <c r="G47" i="1" l="1"/>
  <c r="I47" i="1" s="1"/>
  <c r="G114" i="1"/>
  <c r="I114" i="1" s="1"/>
  <c r="E194" i="1"/>
  <c r="G194" i="1" s="1"/>
  <c r="G197" i="1" s="1"/>
  <c r="I197" i="1" s="1"/>
  <c r="F94" i="5"/>
  <c r="K113" i="52"/>
  <c r="F126" i="52" s="1"/>
  <c r="H113" i="52"/>
  <c r="L113" i="52" s="1"/>
  <c r="K45" i="6"/>
  <c r="I206" i="1" s="1"/>
  <c r="F14" i="16"/>
  <c r="J14" i="16" s="1"/>
  <c r="J15" i="16" s="1"/>
  <c r="E20" i="16" s="1"/>
  <c r="B30" i="16"/>
  <c r="A141" i="1"/>
  <c r="A142" i="1" s="1"/>
  <c r="A143" i="1" s="1"/>
  <c r="A144" i="1" s="1"/>
  <c r="A145" i="1" s="1"/>
  <c r="A146" i="1" s="1"/>
  <c r="A147" i="1" s="1"/>
  <c r="A52" i="1"/>
  <c r="G57" i="1"/>
  <c r="B29" i="16"/>
  <c r="G97" i="1"/>
  <c r="I97" i="1" s="1"/>
  <c r="G121" i="1"/>
  <c r="A28" i="16"/>
  <c r="A29" i="16" s="1"/>
  <c r="A30" i="16" s="1"/>
  <c r="A31" i="16" s="1"/>
  <c r="A33" i="16" s="1"/>
  <c r="B28" i="16"/>
  <c r="G115" i="1" l="1"/>
  <c r="G51" i="30"/>
  <c r="H51" i="30" s="1"/>
  <c r="G133" i="1"/>
  <c r="I133" i="1" s="1"/>
  <c r="H53" i="5"/>
  <c r="I53" i="5" s="1"/>
  <c r="F12" i="54"/>
  <c r="G123" i="1"/>
  <c r="I123" i="1" s="1"/>
  <c r="G26" i="32"/>
  <c r="G27" i="32" s="1"/>
  <c r="G129" i="1"/>
  <c r="G131" i="1" s="1"/>
  <c r="I131" i="1" s="1"/>
  <c r="G66" i="30"/>
  <c r="G67" i="30" s="1"/>
  <c r="G49" i="1"/>
  <c r="G51" i="1" s="1"/>
  <c r="L12" i="27"/>
  <c r="G90" i="30"/>
  <c r="G91" i="30" s="1"/>
  <c r="G124" i="1"/>
  <c r="G79" i="30"/>
  <c r="G80" i="30" s="1"/>
  <c r="G109" i="52"/>
  <c r="G110" i="52" s="1"/>
  <c r="H110" i="52" s="1"/>
  <c r="S28" i="33"/>
  <c r="F97" i="5"/>
  <c r="F108" i="5"/>
  <c r="F95" i="5"/>
  <c r="F104" i="5"/>
  <c r="F98" i="5"/>
  <c r="F106" i="5"/>
  <c r="F92" i="5"/>
  <c r="D153" i="1"/>
  <c r="D17" i="49"/>
  <c r="H17" i="49" s="1"/>
  <c r="D124" i="1" s="1"/>
  <c r="D125" i="1" s="1"/>
  <c r="D96" i="1" s="1"/>
  <c r="H9" i="49"/>
  <c r="F96" i="5"/>
  <c r="G59" i="1"/>
  <c r="E66" i="2"/>
  <c r="E95" i="2" s="1"/>
  <c r="I18" i="2"/>
  <c r="B31" i="16"/>
  <c r="I57" i="1"/>
  <c r="G93" i="1"/>
  <c r="A149" i="1"/>
  <c r="A151" i="1" s="1"/>
  <c r="A152" i="1" s="1"/>
  <c r="A35" i="16"/>
  <c r="A36" i="16" s="1"/>
  <c r="A37" i="16" s="1"/>
  <c r="A38" i="16" s="1"/>
  <c r="A39" i="16" s="1"/>
  <c r="A40" i="16" s="1"/>
  <c r="A53" i="1"/>
  <c r="A55" i="1" s="1"/>
  <c r="A56" i="1" s="1"/>
  <c r="G116" i="1"/>
  <c r="I116" i="1" s="1"/>
  <c r="I115" i="1"/>
  <c r="I121" i="1"/>
  <c r="C147" i="1"/>
  <c r="G52" i="30" l="1"/>
  <c r="H52" i="30" s="1"/>
  <c r="H54" i="5"/>
  <c r="I54" i="5" s="1"/>
  <c r="G140" i="1"/>
  <c r="G141" i="1" s="1"/>
  <c r="I141" i="1" s="1"/>
  <c r="G12" i="54"/>
  <c r="C34" i="54"/>
  <c r="M12" i="54"/>
  <c r="L12" i="54"/>
  <c r="H123" i="52"/>
  <c r="I123" i="52" s="1"/>
  <c r="I12" i="54"/>
  <c r="H12" i="54"/>
  <c r="N12" i="54"/>
  <c r="J12" i="54"/>
  <c r="E12" i="54"/>
  <c r="O12" i="54"/>
  <c r="D12" i="54"/>
  <c r="K12" i="54"/>
  <c r="I49" i="1"/>
  <c r="L73" i="27"/>
  <c r="G112" i="52"/>
  <c r="H125" i="52" s="1"/>
  <c r="H122" i="52"/>
  <c r="I124" i="1"/>
  <c r="I67" i="1"/>
  <c r="H66" i="2" s="1"/>
  <c r="H95" i="2" s="1"/>
  <c r="I122" i="1"/>
  <c r="H54" i="30"/>
  <c r="D36" i="30" s="1"/>
  <c r="D37" i="30" s="1"/>
  <c r="D38" i="30" s="1"/>
  <c r="D23" i="30" s="1"/>
  <c r="C66" i="1"/>
  <c r="A57" i="1"/>
  <c r="S53" i="33"/>
  <c r="S29" i="33"/>
  <c r="A153" i="1"/>
  <c r="B156" i="1"/>
  <c r="G61" i="1"/>
  <c r="G52" i="1"/>
  <c r="I52" i="1" s="1"/>
  <c r="I51" i="1"/>
  <c r="I93" i="1"/>
  <c r="G128" i="1"/>
  <c r="O34" i="54" l="1"/>
  <c r="I140" i="1"/>
  <c r="M34" i="54"/>
  <c r="H55" i="5"/>
  <c r="I55" i="5" s="1"/>
  <c r="I34" i="54"/>
  <c r="H34" i="54"/>
  <c r="F34" i="54"/>
  <c r="L34" i="54"/>
  <c r="D34" i="54"/>
  <c r="P12" i="54"/>
  <c r="K34" i="54"/>
  <c r="G34" i="54"/>
  <c r="N34" i="54"/>
  <c r="J34" i="54"/>
  <c r="E34" i="54"/>
  <c r="H112" i="52"/>
  <c r="L28" i="27"/>
  <c r="L30" i="27" s="1"/>
  <c r="L95" i="27"/>
  <c r="I19" i="2"/>
  <c r="O70" i="33"/>
  <c r="K16" i="54"/>
  <c r="K18" i="54" s="1"/>
  <c r="F16" i="54"/>
  <c r="F18" i="54" s="1"/>
  <c r="J16" i="54"/>
  <c r="J18" i="54" s="1"/>
  <c r="D16" i="54"/>
  <c r="G16" i="54"/>
  <c r="G18" i="54" s="1"/>
  <c r="M16" i="54"/>
  <c r="M18" i="54" s="1"/>
  <c r="L16" i="54"/>
  <c r="L18" i="54" s="1"/>
  <c r="E16" i="54"/>
  <c r="E18" i="54" s="1"/>
  <c r="N16" i="54"/>
  <c r="N18" i="54" s="1"/>
  <c r="I16" i="54"/>
  <c r="I18" i="54" s="1"/>
  <c r="H16" i="54"/>
  <c r="H18" i="54" s="1"/>
  <c r="O16" i="54"/>
  <c r="O18" i="54" s="1"/>
  <c r="G171" i="29"/>
  <c r="C171" i="29"/>
  <c r="I128" i="1"/>
  <c r="G130" i="1"/>
  <c r="I130" i="1" s="1"/>
  <c r="P34" i="54"/>
  <c r="G134" i="1"/>
  <c r="I134" i="1" s="1"/>
  <c r="I61" i="1"/>
  <c r="G62" i="1"/>
  <c r="I62" i="1" s="1"/>
  <c r="A154" i="1"/>
  <c r="A155" i="1" s="1"/>
  <c r="A156" i="1" s="1"/>
  <c r="S81" i="33"/>
  <c r="S82" i="33" s="1"/>
  <c r="S54" i="33"/>
  <c r="A58" i="1"/>
  <c r="C67" i="1"/>
  <c r="H56" i="5" l="1"/>
  <c r="H57" i="5" s="1"/>
  <c r="I57" i="5" s="1"/>
  <c r="K83" i="27"/>
  <c r="L83" i="27" s="1"/>
  <c r="P42" i="33"/>
  <c r="Q42" i="33" s="1"/>
  <c r="Q52" i="33" s="1"/>
  <c r="O52" i="33"/>
  <c r="P17" i="33"/>
  <c r="Q17" i="33" s="1"/>
  <c r="N70" i="33"/>
  <c r="P70" i="33" s="1"/>
  <c r="F38" i="54"/>
  <c r="F40" i="54" s="1"/>
  <c r="J38" i="54"/>
  <c r="J40" i="54" s="1"/>
  <c r="N38" i="54"/>
  <c r="N40" i="54" s="1"/>
  <c r="M38" i="54"/>
  <c r="M40" i="54" s="1"/>
  <c r="C38" i="54"/>
  <c r="G38" i="54"/>
  <c r="G40" i="54" s="1"/>
  <c r="K38" i="54"/>
  <c r="K40" i="54" s="1"/>
  <c r="O38" i="54"/>
  <c r="O40" i="54" s="1"/>
  <c r="H38" i="54"/>
  <c r="H40" i="54" s="1"/>
  <c r="L38" i="54"/>
  <c r="L40" i="54" s="1"/>
  <c r="D38" i="54"/>
  <c r="D40" i="54" s="1"/>
  <c r="I38" i="54"/>
  <c r="I40" i="54" s="1"/>
  <c r="E38" i="54"/>
  <c r="E40" i="54" s="1"/>
  <c r="D18" i="54"/>
  <c r="P18" i="54" s="1"/>
  <c r="L21" i="6" s="1"/>
  <c r="D158" i="1" s="1"/>
  <c r="D162" i="1" s="1"/>
  <c r="I162" i="1" s="1"/>
  <c r="P16" i="54"/>
  <c r="I72" i="1"/>
  <c r="K66" i="2"/>
  <c r="K95" i="2" s="1"/>
  <c r="I71" i="1"/>
  <c r="G10" i="29"/>
  <c r="G12" i="29" s="1"/>
  <c r="K34" i="27"/>
  <c r="E111" i="29"/>
  <c r="G77" i="27" s="1"/>
  <c r="C111" i="29"/>
  <c r="C10" i="29"/>
  <c r="F83" i="27"/>
  <c r="I24" i="5"/>
  <c r="D98" i="1" s="1"/>
  <c r="F110" i="5"/>
  <c r="H58" i="5"/>
  <c r="H60" i="5" s="1"/>
  <c r="H61" i="5" s="1"/>
  <c r="F106" i="33"/>
  <c r="F107" i="33" s="1"/>
  <c r="G107" i="33" s="1"/>
  <c r="A59" i="1"/>
  <c r="C68" i="1"/>
  <c r="A157" i="1"/>
  <c r="C161" i="1" s="1"/>
  <c r="I56" i="5" l="1"/>
  <c r="T42" i="33"/>
  <c r="D157" i="1"/>
  <c r="N27" i="33"/>
  <c r="P13" i="33"/>
  <c r="R13" i="33" s="1"/>
  <c r="N66" i="33"/>
  <c r="P38" i="33"/>
  <c r="R38" i="33" s="1"/>
  <c r="N52" i="33"/>
  <c r="P52" i="33" s="1"/>
  <c r="O27" i="33"/>
  <c r="O66" i="33"/>
  <c r="O80" i="33" s="1"/>
  <c r="R70" i="33"/>
  <c r="Q70" i="33"/>
  <c r="Q80" i="33" s="1"/>
  <c r="Q82" i="33" s="1"/>
  <c r="E124" i="52"/>
  <c r="Q54" i="33"/>
  <c r="T17" i="33"/>
  <c r="Q27" i="33"/>
  <c r="E25" i="16"/>
  <c r="E29" i="16" s="1"/>
  <c r="P38" i="54"/>
  <c r="C40" i="54"/>
  <c r="P40" i="54" s="1"/>
  <c r="D80" i="1" s="1"/>
  <c r="I80" i="1" s="1"/>
  <c r="L34" i="27"/>
  <c r="E9" i="29"/>
  <c r="E12" i="29" s="1"/>
  <c r="H28" i="27"/>
  <c r="H30" i="27" s="1"/>
  <c r="C9" i="29"/>
  <c r="C12" i="29" s="1"/>
  <c r="F77" i="27"/>
  <c r="I98" i="1"/>
  <c r="D99" i="1"/>
  <c r="I61" i="5"/>
  <c r="H62" i="5"/>
  <c r="I58" i="5"/>
  <c r="A60" i="1"/>
  <c r="C69" i="1"/>
  <c r="A158" i="1"/>
  <c r="D159" i="1" l="1"/>
  <c r="E24" i="16"/>
  <c r="E28" i="16" s="1"/>
  <c r="D161" i="1"/>
  <c r="I161" i="1" s="1"/>
  <c r="T38" i="33"/>
  <c r="R52" i="33"/>
  <c r="N80" i="33"/>
  <c r="P66" i="33"/>
  <c r="T70" i="33"/>
  <c r="T13" i="33"/>
  <c r="R27" i="33"/>
  <c r="R29" i="33" s="1"/>
  <c r="Q29" i="33"/>
  <c r="P27" i="33"/>
  <c r="G28" i="27"/>
  <c r="G30" i="27" s="1"/>
  <c r="I62" i="5"/>
  <c r="H63" i="5"/>
  <c r="I60" i="5"/>
  <c r="I59" i="5"/>
  <c r="H29" i="16"/>
  <c r="J28" i="16"/>
  <c r="A159" i="1"/>
  <c r="C163" i="1" s="1"/>
  <c r="C162" i="1"/>
  <c r="A61" i="1"/>
  <c r="C70" i="1"/>
  <c r="E26" i="16" l="1"/>
  <c r="E30" i="16" s="1"/>
  <c r="D163" i="1"/>
  <c r="I163" i="1" s="1"/>
  <c r="T27" i="33"/>
  <c r="D50" i="1" s="1"/>
  <c r="D53" i="1" s="1"/>
  <c r="T29" i="33"/>
  <c r="I50" i="1" s="1"/>
  <c r="R54" i="33"/>
  <c r="T54" i="33" s="1"/>
  <c r="E126" i="52"/>
  <c r="T52" i="33"/>
  <c r="R66" i="33"/>
  <c r="P80" i="33"/>
  <c r="I63" i="5"/>
  <c r="H64" i="5"/>
  <c r="A62" i="1"/>
  <c r="C71" i="1"/>
  <c r="I28" i="27"/>
  <c r="A160" i="1"/>
  <c r="H30" i="16"/>
  <c r="J29" i="16"/>
  <c r="J30" i="16" l="1"/>
  <c r="E127" i="52"/>
  <c r="G126" i="52"/>
  <c r="T66" i="33"/>
  <c r="T80" i="33" s="1"/>
  <c r="R80" i="33"/>
  <c r="R82" i="33" s="1"/>
  <c r="T82" i="33" s="1"/>
  <c r="I53" i="1"/>
  <c r="G53" i="1" s="1"/>
  <c r="H65" i="5"/>
  <c r="I65" i="5" s="1"/>
  <c r="I64" i="5"/>
  <c r="I30" i="27"/>
  <c r="G118" i="5"/>
  <c r="H118" i="5"/>
  <c r="A63" i="1"/>
  <c r="A65" i="1" s="1"/>
  <c r="A66" i="1" s="1"/>
  <c r="A67" i="1" s="1"/>
  <c r="A68" i="1" s="1"/>
  <c r="A69" i="1" s="1"/>
  <c r="A70" i="1" s="1"/>
  <c r="A71" i="1" s="1"/>
  <c r="A72" i="1" s="1"/>
  <c r="A73" i="1" s="1"/>
  <c r="A75" i="1" s="1"/>
  <c r="A76" i="1" s="1"/>
  <c r="A77" i="1" s="1"/>
  <c r="A78" i="1" s="1"/>
  <c r="A79" i="1" s="1"/>
  <c r="A83" i="1" s="1"/>
  <c r="A84" i="1" s="1"/>
  <c r="A85" i="1" s="1"/>
  <c r="A86" i="1" s="1"/>
  <c r="A87" i="1" s="1"/>
  <c r="A88" i="1" s="1"/>
  <c r="A89" i="1" s="1"/>
  <c r="A90" i="1" s="1"/>
  <c r="A91" i="1" s="1"/>
  <c r="A93" i="1" s="1"/>
  <c r="A95" i="1" s="1"/>
  <c r="A96" i="1" s="1"/>
  <c r="A97" i="1" s="1"/>
  <c r="A98" i="1" s="1"/>
  <c r="A99" i="1" s="1"/>
  <c r="A101" i="1" s="1"/>
  <c r="C72" i="1"/>
  <c r="A161" i="1"/>
  <c r="A162" i="1" s="1"/>
  <c r="A163" i="1" s="1"/>
  <c r="A164" i="1" s="1"/>
  <c r="I126" i="52" l="1"/>
  <c r="J12" i="27"/>
  <c r="H26" i="32"/>
  <c r="H27" i="32" s="1"/>
  <c r="J28" i="32" s="1"/>
  <c r="I118" i="1" s="1"/>
  <c r="I125" i="1" s="1"/>
  <c r="F79" i="30"/>
  <c r="F80" i="30" s="1"/>
  <c r="H80" i="30" s="1"/>
  <c r="D15" i="30" s="1"/>
  <c r="F66" i="30"/>
  <c r="F67" i="30" s="1"/>
  <c r="D7" i="30" s="1"/>
  <c r="F90" i="30"/>
  <c r="F91" i="30" s="1"/>
  <c r="H91" i="30" s="1"/>
  <c r="G143" i="1"/>
  <c r="I71" i="5"/>
  <c r="D84" i="1" s="1"/>
  <c r="I84" i="1" s="1"/>
  <c r="C164" i="1"/>
  <c r="A166" i="1"/>
  <c r="A167" i="1" s="1"/>
  <c r="C170" i="1" s="1"/>
  <c r="I143" i="1" l="1"/>
  <c r="G146" i="1"/>
  <c r="I146" i="1" s="1"/>
  <c r="G145" i="1"/>
  <c r="I145" i="1" s="1"/>
  <c r="I22" i="2"/>
  <c r="I23" i="2" s="1"/>
  <c r="L23" i="2" s="1"/>
  <c r="I96" i="1"/>
  <c r="I99" i="1" s="1"/>
  <c r="J73" i="27"/>
  <c r="J28" i="27"/>
  <c r="D8" i="30"/>
  <c r="D22" i="30" s="1"/>
  <c r="H67" i="30"/>
  <c r="A170" i="1"/>
  <c r="C11" i="1" s="1"/>
  <c r="C160" i="1"/>
  <c r="M57" i="27" l="1"/>
  <c r="H44" i="5" s="1"/>
  <c r="M28" i="27"/>
  <c r="M30" i="27" s="1"/>
  <c r="F44" i="5" s="1"/>
  <c r="J30" i="27"/>
  <c r="I147" i="1"/>
  <c r="I30" i="2" s="1"/>
  <c r="I31" i="2" s="1"/>
  <c r="L31" i="2" s="1"/>
  <c r="J77" i="27"/>
  <c r="J83" i="27"/>
  <c r="J95" i="27"/>
  <c r="M95" i="27" s="1"/>
  <c r="J34" i="27"/>
  <c r="M34" i="27" s="1"/>
  <c r="G44" i="5" s="1"/>
  <c r="D24" i="30"/>
  <c r="D43" i="30"/>
  <c r="M60" i="27" l="1"/>
  <c r="I14" i="1"/>
  <c r="D14" i="1"/>
  <c r="I33" i="2" l="1"/>
  <c r="K38" i="52"/>
  <c r="D109" i="52" l="1"/>
  <c r="F109" i="52" s="1"/>
  <c r="K109" i="52" s="1"/>
  <c r="F122" i="52" s="1"/>
  <c r="G122" i="52" s="1"/>
  <c r="C21" i="6"/>
  <c r="D129" i="1" s="1"/>
  <c r="H109" i="52" l="1"/>
  <c r="I122" i="52"/>
  <c r="D59" i="1"/>
  <c r="D136" i="1"/>
  <c r="I129" i="1"/>
  <c r="I26" i="2" l="1"/>
  <c r="I27" i="2" s="1"/>
  <c r="L27" i="2" s="1"/>
  <c r="L36" i="2" s="1"/>
  <c r="D69" i="1"/>
  <c r="I59" i="1"/>
  <c r="I136" i="1"/>
  <c r="F91" i="2" l="1"/>
  <c r="G91" i="2" s="1"/>
  <c r="F92" i="2"/>
  <c r="G92" i="2" s="1"/>
  <c r="I69" i="1"/>
  <c r="F88" i="2"/>
  <c r="G88" i="2" s="1"/>
  <c r="F75" i="2"/>
  <c r="G75" i="2" s="1"/>
  <c r="F85" i="2"/>
  <c r="G85" i="2" s="1"/>
  <c r="F67" i="2"/>
  <c r="G67" i="2" s="1"/>
  <c r="F68" i="2"/>
  <c r="G68" i="2" s="1"/>
  <c r="F72" i="2"/>
  <c r="G72" i="2" s="1"/>
  <c r="F66" i="2"/>
  <c r="G66" i="2" s="1"/>
  <c r="F82" i="2"/>
  <c r="G82" i="2" s="1"/>
  <c r="F84" i="2"/>
  <c r="G84" i="2" s="1"/>
  <c r="F77" i="2"/>
  <c r="G77" i="2" s="1"/>
  <c r="F89" i="2"/>
  <c r="G89" i="2" s="1"/>
  <c r="F74" i="2"/>
  <c r="G74" i="2" s="1"/>
  <c r="F83" i="2"/>
  <c r="G83" i="2" s="1"/>
  <c r="F79" i="2"/>
  <c r="G79" i="2" s="1"/>
  <c r="F69" i="2"/>
  <c r="G69" i="2" s="1"/>
  <c r="F87" i="2"/>
  <c r="G87" i="2" s="1"/>
  <c r="F73" i="2"/>
  <c r="G73" i="2" s="1"/>
  <c r="F76" i="2"/>
  <c r="G76" i="2" s="1"/>
  <c r="F86" i="2"/>
  <c r="G86" i="2" s="1"/>
  <c r="F78" i="2"/>
  <c r="G78" i="2" s="1"/>
  <c r="F71" i="2"/>
  <c r="G71" i="2" s="1"/>
  <c r="F90" i="2"/>
  <c r="G90" i="2" s="1"/>
  <c r="F80" i="2"/>
  <c r="G80" i="2" s="1"/>
  <c r="F70" i="2"/>
  <c r="G70" i="2" s="1"/>
  <c r="F81" i="2"/>
  <c r="G81" i="2" s="1"/>
  <c r="D48" i="21" l="1"/>
  <c r="E48" i="21" l="1"/>
  <c r="F113" i="28" l="1"/>
  <c r="I10" i="55"/>
  <c r="I14" i="55" s="1"/>
  <c r="I16" i="55" s="1"/>
  <c r="I20" i="55" s="1"/>
  <c r="D169" i="1" s="1"/>
  <c r="I169" i="1" s="1"/>
  <c r="G174" i="28"/>
  <c r="G113" i="28" l="1"/>
  <c r="F78" i="28"/>
  <c r="F81" i="28" s="1"/>
  <c r="D113" i="28"/>
  <c r="D116" i="28" s="1"/>
  <c r="C113" i="28"/>
  <c r="D78" i="28"/>
  <c r="D81" i="28" s="1"/>
  <c r="D174" i="28"/>
  <c r="D177" i="28" s="1"/>
  <c r="E113" i="28"/>
  <c r="E174" i="28"/>
  <c r="E177" i="28" s="1"/>
  <c r="G78" i="28"/>
  <c r="G81" i="28" s="1"/>
  <c r="C78" i="28"/>
  <c r="C81" i="28" s="1"/>
  <c r="F174" i="28"/>
  <c r="F177" i="28" s="1"/>
  <c r="C174" i="28"/>
  <c r="E78" i="28"/>
  <c r="E81" i="28" s="1"/>
  <c r="F116" i="28"/>
  <c r="C11" i="28" l="1"/>
  <c r="F94" i="27"/>
  <c r="F96" i="27" s="1"/>
  <c r="K94" i="27"/>
  <c r="G11" i="28"/>
  <c r="I76" i="27"/>
  <c r="F9" i="28"/>
  <c r="G116" i="28"/>
  <c r="E10" i="28"/>
  <c r="G82" i="27"/>
  <c r="F11" i="28"/>
  <c r="I94" i="27"/>
  <c r="G94" i="27"/>
  <c r="E11" i="28"/>
  <c r="I82" i="27"/>
  <c r="F10" i="28"/>
  <c r="J94" i="27" l="1"/>
  <c r="J96" i="27" s="1"/>
  <c r="I96" i="27"/>
  <c r="K76" i="27"/>
  <c r="K78" i="27" s="1"/>
  <c r="L78" i="27" s="1"/>
  <c r="G9" i="28"/>
  <c r="I84" i="27"/>
  <c r="J82" i="27"/>
  <c r="J84" i="27" s="1"/>
  <c r="L94" i="27"/>
  <c r="K96" i="27"/>
  <c r="H82" i="27"/>
  <c r="H84" i="27" s="1"/>
  <c r="G84" i="27"/>
  <c r="F12" i="28"/>
  <c r="G177" i="28"/>
  <c r="G96" i="27"/>
  <c r="H94" i="27"/>
  <c r="H96" i="27" s="1"/>
  <c r="J76" i="27"/>
  <c r="I78" i="27"/>
  <c r="J78" i="27" s="1"/>
  <c r="L96" i="27" l="1"/>
  <c r="M94" i="27"/>
  <c r="M96" i="27" s="1"/>
  <c r="D79" i="1" s="1"/>
  <c r="I79" i="1" s="1"/>
  <c r="E116" i="28"/>
  <c r="K82" i="27"/>
  <c r="G10" i="28"/>
  <c r="G12" i="28" s="1"/>
  <c r="C177" i="28" l="1"/>
  <c r="E9" i="28"/>
  <c r="E12" i="28" s="1"/>
  <c r="G76" i="27"/>
  <c r="G78" i="27" s="1"/>
  <c r="H78" i="27" s="1"/>
  <c r="M78" i="27" s="1"/>
  <c r="D77" i="1" s="1"/>
  <c r="L82" i="27"/>
  <c r="L84" i="27" s="1"/>
  <c r="M84" i="27" s="1"/>
  <c r="D78" i="1" s="1"/>
  <c r="I78" i="1" s="1"/>
  <c r="K84" i="27"/>
  <c r="D91" i="1" l="1"/>
  <c r="I77" i="1"/>
  <c r="I91" i="1" s="1"/>
  <c r="F82" i="27"/>
  <c r="F84" i="27" s="1"/>
  <c r="C10" i="28"/>
  <c r="C116" i="28"/>
  <c r="F76" i="27" l="1"/>
  <c r="F78" i="27" s="1"/>
  <c r="C9" i="28"/>
  <c r="C12" i="28" s="1"/>
  <c r="K111" i="52" l="1"/>
  <c r="F124" i="52" s="1"/>
  <c r="L111" i="52"/>
  <c r="K112" i="52"/>
  <c r="F125" i="52" s="1"/>
  <c r="G125" i="52" s="1"/>
  <c r="I125" i="52" s="1"/>
  <c r="G124" i="52" l="1"/>
  <c r="F127" i="52"/>
  <c r="I124" i="52" l="1"/>
  <c r="I127" i="52" s="1"/>
  <c r="I60" i="1" s="1"/>
  <c r="G127" i="52"/>
  <c r="D60" i="1" s="1"/>
  <c r="D70" i="1" l="1"/>
  <c r="D73" i="1" s="1"/>
  <c r="D101" i="1" s="1"/>
  <c r="D167" i="1" s="1"/>
  <c r="D160" i="1" s="1"/>
  <c r="D164" i="1" s="1"/>
  <c r="D170" i="1" s="1"/>
  <c r="D63" i="1"/>
  <c r="I70" i="1"/>
  <c r="I73" i="1" s="1"/>
  <c r="I63" i="1"/>
  <c r="L110" i="52" l="1"/>
  <c r="G73" i="1"/>
  <c r="I101" i="1"/>
  <c r="L112" i="52" l="1"/>
  <c r="K7" i="16"/>
  <c r="I167" i="1"/>
  <c r="K16" i="16" l="1"/>
  <c r="K39" i="16"/>
  <c r="I43" i="2"/>
  <c r="I44" i="2" s="1"/>
  <c r="K35" i="16"/>
  <c r="I160" i="1"/>
  <c r="I164" i="1" s="1"/>
  <c r="I170" i="1" s="1"/>
  <c r="I11" i="1" s="1"/>
  <c r="I16" i="1" l="1"/>
  <c r="L44" i="2"/>
  <c r="I39" i="2"/>
  <c r="I40" i="2" s="1"/>
  <c r="L40" i="2" s="1"/>
  <c r="K36" i="16"/>
  <c r="K37" i="16" s="1"/>
  <c r="E27" i="16"/>
  <c r="E31" i="16" s="1"/>
  <c r="J27" i="16"/>
  <c r="J31" i="16" s="1"/>
  <c r="K31" i="16" s="1"/>
  <c r="K33" i="16" s="1"/>
  <c r="I46" i="2" l="1"/>
  <c r="L46" i="2"/>
  <c r="K38" i="16"/>
  <c r="K40" i="16" s="1"/>
  <c r="N75" i="2" l="1"/>
  <c r="N70" i="2"/>
  <c r="N74" i="2"/>
  <c r="N83" i="2"/>
  <c r="N78" i="2"/>
  <c r="N85" i="2"/>
  <c r="N90" i="2"/>
  <c r="N73" i="2"/>
  <c r="N87" i="2"/>
  <c r="N92" i="2"/>
  <c r="N88" i="2"/>
  <c r="N89" i="2"/>
  <c r="N81" i="2"/>
  <c r="N72" i="2"/>
  <c r="N67" i="2"/>
  <c r="N84" i="2"/>
  <c r="N91" i="2"/>
  <c r="N80" i="2"/>
  <c r="N77" i="2"/>
  <c r="N68" i="2"/>
  <c r="N71" i="2"/>
  <c r="N79" i="2"/>
  <c r="N66" i="2"/>
  <c r="N86" i="2"/>
  <c r="N76" i="2"/>
  <c r="N69" i="2"/>
  <c r="N82" i="2"/>
  <c r="I77" i="2"/>
  <c r="J77" i="2" s="1"/>
  <c r="L77" i="2" s="1"/>
  <c r="I85" i="2"/>
  <c r="J85" i="2" s="1"/>
  <c r="L85" i="2" s="1"/>
  <c r="I83" i="2"/>
  <c r="J83" i="2" s="1"/>
  <c r="L83" i="2" s="1"/>
  <c r="I91" i="2"/>
  <c r="J91" i="2" s="1"/>
  <c r="L91" i="2" s="1"/>
  <c r="I78" i="2"/>
  <c r="J78" i="2" s="1"/>
  <c r="L78" i="2" s="1"/>
  <c r="I90" i="2"/>
  <c r="J90" i="2" s="1"/>
  <c r="L90" i="2" s="1"/>
  <c r="I71" i="2"/>
  <c r="J71" i="2" s="1"/>
  <c r="L71" i="2" s="1"/>
  <c r="I73" i="2"/>
  <c r="J73" i="2" s="1"/>
  <c r="L73" i="2" s="1"/>
  <c r="I74" i="2"/>
  <c r="J74" i="2" s="1"/>
  <c r="L74" i="2" s="1"/>
  <c r="I80" i="2"/>
  <c r="J80" i="2" s="1"/>
  <c r="L80" i="2" s="1"/>
  <c r="I67" i="2"/>
  <c r="J67" i="2" s="1"/>
  <c r="L67" i="2" s="1"/>
  <c r="I79" i="2"/>
  <c r="J79" i="2" s="1"/>
  <c r="L79" i="2" s="1"/>
  <c r="I92" i="2"/>
  <c r="J92" i="2" s="1"/>
  <c r="L92" i="2" s="1"/>
  <c r="I86" i="2"/>
  <c r="J86" i="2" s="1"/>
  <c r="L86" i="2" s="1"/>
  <c r="I66" i="2"/>
  <c r="J66" i="2" s="1"/>
  <c r="I76" i="2"/>
  <c r="J76" i="2" s="1"/>
  <c r="L76" i="2" s="1"/>
  <c r="I69" i="2"/>
  <c r="J69" i="2" s="1"/>
  <c r="L69" i="2" s="1"/>
  <c r="I72" i="2"/>
  <c r="J72" i="2" s="1"/>
  <c r="L72" i="2" s="1"/>
  <c r="I89" i="2"/>
  <c r="J89" i="2" s="1"/>
  <c r="L89" i="2" s="1"/>
  <c r="I87" i="2"/>
  <c r="J87" i="2" s="1"/>
  <c r="L87" i="2" s="1"/>
  <c r="I68" i="2"/>
  <c r="J68" i="2" s="1"/>
  <c r="L68" i="2" s="1"/>
  <c r="I70" i="2"/>
  <c r="J70" i="2" s="1"/>
  <c r="L70" i="2" s="1"/>
  <c r="I88" i="2"/>
  <c r="J88" i="2" s="1"/>
  <c r="L88" i="2" s="1"/>
  <c r="I81" i="2"/>
  <c r="J81" i="2" s="1"/>
  <c r="L81" i="2" s="1"/>
  <c r="I84" i="2"/>
  <c r="J84" i="2" s="1"/>
  <c r="L84" i="2" s="1"/>
  <c r="I75" i="2"/>
  <c r="J75" i="2" s="1"/>
  <c r="L75" i="2" s="1"/>
  <c r="I82" i="2"/>
  <c r="J82" i="2" s="1"/>
  <c r="L82" i="2" s="1"/>
  <c r="O81" i="2" l="1"/>
  <c r="Q81" i="2"/>
  <c r="O79" i="2"/>
  <c r="Q79" i="2"/>
  <c r="O88" i="2"/>
  <c r="Q88" i="2"/>
  <c r="O71" i="2"/>
  <c r="Q71" i="2"/>
  <c r="Q83" i="2"/>
  <c r="O83" i="2"/>
  <c r="N95" i="2"/>
  <c r="O76" i="2"/>
  <c r="Q76" i="2"/>
  <c r="O91" i="2"/>
  <c r="Q91" i="2"/>
  <c r="O82" i="2"/>
  <c r="Q82" i="2"/>
  <c r="Q67" i="2"/>
  <c r="O67" i="2"/>
  <c r="O75" i="2"/>
  <c r="Q75" i="2"/>
  <c r="Q70" i="2"/>
  <c r="O70" i="2"/>
  <c r="O72" i="2"/>
  <c r="Q72" i="2"/>
  <c r="O86" i="2"/>
  <c r="Q86" i="2"/>
  <c r="Q80" i="2"/>
  <c r="O80" i="2"/>
  <c r="Q90" i="2"/>
  <c r="O90" i="2"/>
  <c r="O85" i="2"/>
  <c r="Q85" i="2"/>
  <c r="Q87" i="2"/>
  <c r="O87" i="2"/>
  <c r="O73" i="2"/>
  <c r="Q73" i="2"/>
  <c r="Q89" i="2"/>
  <c r="O89" i="2"/>
  <c r="L66" i="2"/>
  <c r="J95" i="2"/>
  <c r="Q84" i="2"/>
  <c r="O84" i="2"/>
  <c r="Q68" i="2"/>
  <c r="O68" i="2"/>
  <c r="O69" i="2"/>
  <c r="Q69" i="2"/>
  <c r="Q92" i="2"/>
  <c r="O92" i="2"/>
  <c r="Q74" i="2"/>
  <c r="O74" i="2"/>
  <c r="Q78" i="2"/>
  <c r="O78" i="2"/>
  <c r="O77" i="2"/>
  <c r="Q77" i="2"/>
  <c r="O66" i="2" l="1"/>
  <c r="O95" i="2" s="1"/>
  <c r="Q66" i="2"/>
  <c r="L95" i="2"/>
  <c r="Q95" i="2" l="1"/>
  <c r="S66" i="2" l="1"/>
  <c r="I22" i="1" s="1"/>
  <c r="S95" i="2" l="1"/>
  <c r="I18" i="1" s="1"/>
  <c r="L109" i="52" l="1"/>
  <c r="G44" i="21" l="1"/>
  <c r="D67" i="7" s="1"/>
  <c r="G67" i="7" s="1"/>
  <c r="J44" i="21" s="1"/>
  <c r="T92" i="2" s="1"/>
  <c r="G43" i="21"/>
  <c r="D66" i="7" s="1"/>
  <c r="G66" i="7" s="1"/>
  <c r="J43" i="21" s="1"/>
  <c r="T91" i="2" s="1"/>
  <c r="G41" i="21" l="1"/>
  <c r="D64" i="7" s="1"/>
  <c r="G64" i="7" s="1"/>
  <c r="J41" i="21" s="1"/>
  <c r="T89" i="2" s="1"/>
  <c r="G21" i="21" l="1"/>
  <c r="D44" i="7" s="1"/>
  <c r="G44" i="7" s="1"/>
  <c r="J21" i="21" s="1"/>
  <c r="T69" i="2" s="1"/>
  <c r="G31" i="21"/>
  <c r="D54" i="7" s="1"/>
  <c r="G54" i="7" s="1"/>
  <c r="J31" i="21" s="1"/>
  <c r="T79" i="2" s="1"/>
  <c r="G38" i="21"/>
  <c r="D61" i="7" s="1"/>
  <c r="G61" i="7" s="1"/>
  <c r="J38" i="21" s="1"/>
  <c r="T86" i="2" s="1"/>
  <c r="G34" i="21"/>
  <c r="D57" i="7" s="1"/>
  <c r="G57" i="7" s="1"/>
  <c r="J34" i="21" s="1"/>
  <c r="T82" i="2" s="1"/>
  <c r="G23" i="21"/>
  <c r="D46" i="7" s="1"/>
  <c r="G46" i="7" s="1"/>
  <c r="J23" i="21" s="1"/>
  <c r="T71" i="2" s="1"/>
  <c r="G26" i="21"/>
  <c r="D49" i="7" s="1"/>
  <c r="G49" i="7" s="1"/>
  <c r="J26" i="21" s="1"/>
  <c r="T74" i="2" s="1"/>
  <c r="G39" i="21"/>
  <c r="D62" i="7" s="1"/>
  <c r="G62" i="7" s="1"/>
  <c r="J39" i="21" s="1"/>
  <c r="T87" i="2" s="1"/>
  <c r="G29" i="21"/>
  <c r="D52" i="7" s="1"/>
  <c r="G52" i="7" s="1"/>
  <c r="J29" i="21" s="1"/>
  <c r="T77" i="2" s="1"/>
  <c r="G37" i="21"/>
  <c r="D60" i="7" s="1"/>
  <c r="G60" i="7" s="1"/>
  <c r="J37" i="21" s="1"/>
  <c r="T85" i="2" s="1"/>
  <c r="G19" i="21"/>
  <c r="D42" i="7" s="1"/>
  <c r="G42" i="7" s="1"/>
  <c r="J19" i="21" s="1"/>
  <c r="T67" i="2" s="1"/>
  <c r="G30" i="21"/>
  <c r="D53" i="7" s="1"/>
  <c r="G53" i="7" s="1"/>
  <c r="J30" i="21" s="1"/>
  <c r="T78" i="2" s="1"/>
  <c r="G28" i="21"/>
  <c r="D51" i="7" s="1"/>
  <c r="G51" i="7" s="1"/>
  <c r="J28" i="21" s="1"/>
  <c r="T76" i="2" s="1"/>
  <c r="G36" i="21"/>
  <c r="D59" i="7" s="1"/>
  <c r="G59" i="7" s="1"/>
  <c r="J36" i="21" s="1"/>
  <c r="T84" i="2" s="1"/>
  <c r="G32" i="21"/>
  <c r="D55" i="7" s="1"/>
  <c r="G55" i="7" s="1"/>
  <c r="J32" i="21" s="1"/>
  <c r="T80" i="2" s="1"/>
  <c r="G22" i="21"/>
  <c r="D45" i="7" s="1"/>
  <c r="G45" i="7" s="1"/>
  <c r="J22" i="21" s="1"/>
  <c r="T70" i="2" s="1"/>
  <c r="G33" i="21"/>
  <c r="D56" i="7" s="1"/>
  <c r="G56" i="7" s="1"/>
  <c r="J33" i="21" s="1"/>
  <c r="T81" i="2" s="1"/>
  <c r="G40" i="21"/>
  <c r="D63" i="7" s="1"/>
  <c r="G63" i="7" s="1"/>
  <c r="J40" i="21" s="1"/>
  <c r="T88" i="2" s="1"/>
  <c r="G20" i="21"/>
  <c r="D43" i="7" s="1"/>
  <c r="G43" i="7" s="1"/>
  <c r="J20" i="21" s="1"/>
  <c r="T68" i="2" s="1"/>
  <c r="G27" i="21"/>
  <c r="D50" i="7" s="1"/>
  <c r="G50" i="7" s="1"/>
  <c r="J27" i="21" s="1"/>
  <c r="T75" i="2" s="1"/>
  <c r="G24" i="21"/>
  <c r="D47" i="7" s="1"/>
  <c r="G47" i="7" s="1"/>
  <c r="J24" i="21" s="1"/>
  <c r="T72" i="2" s="1"/>
  <c r="G25" i="21"/>
  <c r="D48" i="7" s="1"/>
  <c r="G48" i="7" s="1"/>
  <c r="J25" i="21" s="1"/>
  <c r="T73" i="2" s="1"/>
  <c r="G35" i="21"/>
  <c r="D58" i="7" s="1"/>
  <c r="G58" i="7" s="1"/>
  <c r="J35" i="21" s="1"/>
  <c r="T83" i="2" s="1"/>
  <c r="G42" i="21"/>
  <c r="D65" i="7" s="1"/>
  <c r="G65" i="7" s="1"/>
  <c r="J42" i="21" s="1"/>
  <c r="T90" i="2" s="1"/>
  <c r="T95" i="2" l="1"/>
  <c r="G18" i="21" l="1"/>
  <c r="G48" i="21" l="1"/>
  <c r="H48" i="21" l="1"/>
  <c r="D41" i="7"/>
  <c r="G41" i="7" s="1"/>
  <c r="J18" i="21" s="1"/>
  <c r="J48" i="21" s="1"/>
  <c r="J51" i="21" s="1"/>
  <c r="R66" i="2" l="1"/>
  <c r="K48" i="21"/>
  <c r="I23" i="1" l="1"/>
  <c r="I24" i="1" s="1"/>
  <c r="R95" i="2"/>
  <c r="I19" i="1" s="1"/>
  <c r="I20" i="1" s="1"/>
  <c r="I30" i="1" l="1"/>
</calcChain>
</file>

<file path=xl/sharedStrings.xml><?xml version="1.0" encoding="utf-8"?>
<sst xmlns="http://schemas.openxmlformats.org/spreadsheetml/2006/main" count="3420" uniqueCount="1662">
  <si>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</si>
  <si>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</si>
  <si>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</si>
  <si>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</si>
  <si>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</si>
  <si>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</si>
  <si>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</si>
  <si>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</si>
  <si>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</si>
  <si>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</si>
  <si>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</si>
  <si>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</si>
  <si>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</si>
  <si>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</si>
  <si>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</si>
  <si>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</si>
  <si>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</si>
  <si>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</si>
  <si>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</si>
  <si>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</si>
  <si>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</si>
  <si>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</si>
  <si>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</si>
  <si>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</si>
  <si>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</si>
  <si>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</si>
  <si>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</si>
  <si>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</si>
  <si>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GP</t>
  </si>
  <si>
    <t xml:space="preserve">  Transmission </t>
  </si>
  <si>
    <t xml:space="preserve">  A&amp;G</t>
  </si>
  <si>
    <t xml:space="preserve">  LABOR RELATED</t>
  </si>
  <si>
    <t xml:space="preserve">          Payroll</t>
  </si>
  <si>
    <t xml:space="preserve">  PLANT RELATED</t>
  </si>
  <si>
    <t xml:space="preserve">         Property</t>
  </si>
  <si>
    <t xml:space="preserve">         Other</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</si>
  <si>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</si>
  <si>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</si>
  <si>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</si>
  <si>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</si>
  <si>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</si>
  <si>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</si>
  <si>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</si>
  <si>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</si>
  <si>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</si>
  <si>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</si>
  <si>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</si>
  <si>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</si>
  <si>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 Allocation)</t>
  </si>
  <si>
    <t>=</t>
  </si>
  <si>
    <t>WS</t>
  </si>
  <si>
    <t>RETURN (R)</t>
  </si>
  <si>
    <t>Cost</t>
  </si>
  <si>
    <t>%</t>
  </si>
  <si>
    <t>Weighted</t>
  </si>
  <si>
    <t>=WCLTD</t>
  </si>
  <si>
    <t>=R</t>
  </si>
  <si>
    <t>General Note:  References to pages in this formulary rate are indicated as:  (page#, line#, col.#)</t>
  </si>
  <si>
    <t>A</t>
  </si>
  <si>
    <t>B</t>
  </si>
  <si>
    <t>C</t>
  </si>
  <si>
    <t>D</t>
  </si>
  <si>
    <t>E</t>
  </si>
  <si>
    <t>F</t>
  </si>
  <si>
    <t>G</t>
  </si>
  <si>
    <t>H</t>
  </si>
  <si>
    <t>I</t>
  </si>
  <si>
    <t>J</t>
  </si>
  <si>
    <t xml:space="preserve">         Inputs Required:</t>
  </si>
  <si>
    <t>FIT =</t>
  </si>
  <si>
    <t>SIT=</t>
  </si>
  <si>
    <t>p =</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</si>
  <si>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</si>
  <si>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</si>
  <si>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</si>
  <si>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</si>
  <si>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</si>
  <si>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</si>
  <si>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</si>
  <si>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</si>
  <si>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</si>
  <si>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</si>
  <si>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</si>
  <si>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</si>
  <si>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</si>
  <si>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</si>
  <si>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</si>
  <si>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</si>
  <si>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</si>
  <si>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</si>
  <si>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</si>
  <si>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</si>
  <si>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</si>
  <si>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</si>
  <si>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</si>
  <si>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</si>
  <si>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Total Account 566</t>
  </si>
  <si>
    <t xml:space="preserve">   Amortization of Regulatory Asset</t>
  </si>
  <si>
    <t>Utilizing FERC Form 1 Data</t>
  </si>
  <si>
    <t>K</t>
  </si>
  <si>
    <t xml:space="preserve">  Unamortized Regulatory Asset </t>
  </si>
  <si>
    <t xml:space="preserve">  Unamortized Abandoned Plant  </t>
  </si>
  <si>
    <t>page 1 of 5</t>
  </si>
  <si>
    <t>(Note C)</t>
  </si>
  <si>
    <t>(Note D)</t>
  </si>
  <si>
    <t>page 2 of 5</t>
  </si>
  <si>
    <t>zero</t>
  </si>
  <si>
    <t xml:space="preserve">  CWC </t>
  </si>
  <si>
    <t>page 3 of 5</t>
  </si>
  <si>
    <t>Permanent Differences Tax Adjustment</t>
  </si>
  <si>
    <t>page 4 of 5</t>
  </si>
  <si>
    <t>WAGES &amp; SALARY ALLOCATOR  (W&amp;S)</t>
  </si>
  <si>
    <t xml:space="preserve">  Preferred Stock  (112.3.c)</t>
  </si>
  <si>
    <t>page 5 of 5</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</si>
  <si>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</si>
  <si>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</si>
  <si>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</si>
  <si>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</si>
  <si>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</si>
  <si>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</si>
  <si>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</si>
  <si>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</si>
  <si>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</si>
  <si>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</si>
  <si>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</si>
  <si>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</si>
  <si>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</si>
  <si>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</si>
  <si>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</si>
  <si>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</si>
  <si>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</si>
  <si>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</si>
  <si>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</si>
  <si>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</si>
  <si>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</si>
  <si>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</si>
  <si>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</si>
  <si>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</si>
  <si>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</si>
  <si>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</si>
  <si>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</si>
  <si>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</si>
  <si>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</si>
  <si>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</si>
  <si>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</si>
  <si>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</si>
  <si>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</si>
  <si>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</si>
  <si>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</si>
  <si>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</si>
  <si>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</si>
  <si>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</si>
  <si>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</si>
  <si>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</si>
  <si>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</si>
  <si>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</si>
  <si>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</si>
  <si>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</si>
  <si>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</si>
  <si>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</si>
  <si>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</si>
  <si>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</si>
  <si>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</si>
  <si>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</si>
  <si>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</si>
  <si>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</si>
  <si>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</si>
  <si>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</si>
  <si>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</si>
  <si>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</si>
  <si>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</si>
  <si>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</si>
  <si>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</si>
  <si>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</si>
  <si>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</si>
  <si>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15</t>
  </si>
  <si>
    <t>16</t>
  </si>
  <si>
    <t>(line 9 divided by line 1 col 3)</t>
  </si>
  <si>
    <t>Project Depreciation/Amortization Expense</t>
  </si>
  <si>
    <t>Incentive Return</t>
  </si>
  <si>
    <t>Incentive Return in basis Points</t>
  </si>
  <si>
    <t>Less Revenue Credits</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</si>
  <si>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</si>
  <si>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</si>
  <si>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</si>
  <si>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</si>
  <si>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</si>
  <si>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</si>
  <si>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</si>
  <si>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</si>
  <si>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</si>
  <si>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</si>
  <si>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</si>
  <si>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</si>
  <si>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</si>
  <si>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</si>
  <si>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</si>
  <si>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</si>
  <si>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</si>
  <si>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</si>
  <si>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</si>
  <si>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</si>
  <si>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</si>
  <si>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</si>
  <si>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</si>
  <si>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</si>
  <si>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</si>
  <si>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</si>
  <si>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</si>
  <si>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</si>
  <si>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</si>
  <si>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</si>
  <si>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</si>
  <si>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</si>
  <si>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U</t>
  </si>
  <si>
    <t>GROSS REVENUE REQUIREMENT</t>
  </si>
  <si>
    <t xml:space="preserve">TOTAL DEPRECIATION </t>
  </si>
  <si>
    <t xml:space="preserve">TAXES OTHER THAN INCOME TAXES </t>
  </si>
  <si>
    <t>TOTAL OTHER TAXES</t>
  </si>
  <si>
    <t>TOTAL GROSS PLANT</t>
  </si>
  <si>
    <t xml:space="preserve">TOTAL ACCUM. DEPRECIATION </t>
  </si>
  <si>
    <t xml:space="preserve">TOTAL ADJUSTMENTS </t>
  </si>
  <si>
    <t>TOTAL NET PLANT</t>
  </si>
  <si>
    <t xml:space="preserve">TOTAL WORKING CAPITAL  </t>
  </si>
  <si>
    <t xml:space="preserve">WORKING CAPITAL </t>
  </si>
  <si>
    <t xml:space="preserve">RATE BASE </t>
  </si>
  <si>
    <t>TOTAL O&amp;M</t>
  </si>
  <si>
    <t xml:space="preserve">Total </t>
  </si>
  <si>
    <t>(Note H)</t>
  </si>
  <si>
    <t>(Note I)</t>
  </si>
  <si>
    <t xml:space="preserve">Total Transmission plant  </t>
  </si>
  <si>
    <t xml:space="preserve">Less Transmission plant included in OATT Ancillary Services  </t>
  </si>
  <si>
    <t>(Line 1 minus Lines 2 &amp; 3)</t>
  </si>
  <si>
    <t>(Line 4 divided by Line 1)</t>
  </si>
  <si>
    <t>(Sum of Lines 7 through 10)</t>
  </si>
  <si>
    <t xml:space="preserve">  Long Term Debt </t>
  </si>
  <si>
    <t xml:space="preserve">Income Tax Calculation </t>
  </si>
  <si>
    <t xml:space="preserve">ITC adjustment </t>
  </si>
  <si>
    <t xml:space="preserve">Excess Deferred Income Tax Adjustment </t>
  </si>
  <si>
    <t xml:space="preserve">Total Income Taxes </t>
  </si>
  <si>
    <t xml:space="preserve">     FIT &amp; SIT &amp; P</t>
  </si>
  <si>
    <t>(Note G)</t>
  </si>
  <si>
    <t>1</t>
  </si>
  <si>
    <t>18</t>
  </si>
  <si>
    <t>(j)</t>
  </si>
  <si>
    <t>Account No. 566 (Misc. Trans. Expense)</t>
  </si>
  <si>
    <t>Account No. 565</t>
  </si>
  <si>
    <t>Amortization of Abandoned Plant</t>
  </si>
  <si>
    <t>(k)</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</si>
  <si>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</si>
  <si>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</si>
  <si>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</si>
  <si>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</si>
  <si>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</si>
  <si>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</si>
  <si>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</si>
  <si>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</si>
  <si>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</si>
  <si>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</si>
  <si>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</si>
  <si>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 xml:space="preserve">Rate Base Worksheet </t>
  </si>
  <si>
    <t xml:space="preserve">Average of the 13 Monthly Balances </t>
  </si>
  <si>
    <t>Average of the 13 Monthly Balances</t>
  </si>
  <si>
    <t>Account No. 255
Accumulated Deferred Investment Credit</t>
  </si>
  <si>
    <t xml:space="preserve">  Production </t>
  </si>
  <si>
    <t xml:space="preserve">  Distribution </t>
  </si>
  <si>
    <t>Attachment 4, Line 14, Col. (b)</t>
  </si>
  <si>
    <t>Attachment 4, Line 14, Col. (c)</t>
  </si>
  <si>
    <t>207.75.g for end of year, records for other months</t>
  </si>
  <si>
    <t>219.20-24.c for end of year, records for other months</t>
  </si>
  <si>
    <t>219.26.c for end of year, records for other months</t>
  </si>
  <si>
    <t>Attachment 4, Line 14, Col. (h)</t>
  </si>
  <si>
    <t>354.21.b</t>
  </si>
  <si>
    <t>354.24,25,26.b</t>
  </si>
  <si>
    <t>(14)</t>
  </si>
  <si>
    <t>(15)</t>
  </si>
  <si>
    <t>Transmission O&amp;M Expenses</t>
  </si>
  <si>
    <t>Amortization of Regulatory Asset</t>
  </si>
  <si>
    <t>Depreciation Expense - Transmission</t>
  </si>
  <si>
    <t xml:space="preserve">  Common Stock</t>
  </si>
  <si>
    <t>Calculation of PBOP Expenses</t>
  </si>
  <si>
    <t>Tax Effect of Permanent Differences</t>
  </si>
  <si>
    <t>Attachment 4, Line 14, Col. (f) (Note C)</t>
  </si>
  <si>
    <t>PBOPs</t>
  </si>
  <si>
    <t>(Page 1 line 11)</t>
  </si>
  <si>
    <t>(Page 1 line 16)</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</si>
  <si>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</si>
  <si>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</si>
  <si>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</si>
  <si>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</si>
  <si>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</si>
  <si>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</si>
  <si>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</si>
  <si>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(16)</t>
  </si>
  <si>
    <t>(Sum Col. 10 &amp; 12 Less Col. 13)</t>
  </si>
  <si>
    <t>(Note J)</t>
  </si>
  <si>
    <t>…</t>
  </si>
  <si>
    <t>Interest</t>
  </si>
  <si>
    <t>Excludes Asset Retirement Obligation balances</t>
  </si>
  <si>
    <t>(Page 2, Line 2, Column 3)</t>
  </si>
  <si>
    <t>Preferred Dividends (118.29c) (positive number)</t>
  </si>
  <si>
    <t>Common Stock</t>
  </si>
  <si>
    <t>111.57.c for end of year, records for other months</t>
  </si>
  <si>
    <t>Under/(Over)</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</si>
  <si>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</si>
  <si>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</si>
  <si>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</si>
  <si>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</si>
  <si>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</si>
  <si>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</si>
  <si>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</si>
  <si>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</si>
  <si>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</si>
  <si>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 xml:space="preserve">RATE BASE: </t>
  </si>
  <si>
    <t>DEPRECIATION EXPENSE  (Note U)</t>
  </si>
  <si>
    <t>The Unamortized Abandoned Plant balance is included in Net Plant, and Amortization of Abandoned Plant is included in Depreciation/Amortization Expense.</t>
  </si>
  <si>
    <t>Incentive ROE</t>
  </si>
  <si>
    <t>(Notes D &amp; I)</t>
  </si>
  <si>
    <t>(Notes E &amp; I)</t>
  </si>
  <si>
    <t>Ceiling Rate</t>
  </si>
  <si>
    <t>(Sum Col. 10 &amp; 12)</t>
  </si>
  <si>
    <t xml:space="preserve"> (12a)</t>
  </si>
  <si>
    <t xml:space="preserve">   Miscellaneous Transmission Expense (less amortization of regulatory asset)</t>
  </si>
  <si>
    <t>X</t>
  </si>
  <si>
    <t>Note:</t>
  </si>
  <si>
    <t>List of all reserves:</t>
  </si>
  <si>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</si>
  <si>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</si>
  <si>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</si>
  <si>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</si>
  <si>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30b</t>
  </si>
  <si>
    <t>30c</t>
  </si>
  <si>
    <t>30d</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</si>
  <si>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</si>
  <si>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</si>
  <si>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</si>
  <si>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</si>
  <si>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</si>
  <si>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</si>
  <si>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</si>
  <si>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</si>
  <si>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</si>
  <si>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</si>
  <si>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</si>
  <si>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</si>
  <si>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</si>
  <si>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</si>
  <si>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</si>
  <si>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</si>
  <si>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r>
      <t>Requirement</t>
    </r>
    <r>
      <rPr>
        <vertAlign val="superscript"/>
        <sz val="10"/>
        <color theme="1"/>
        <rFont val="Times New Roman"/>
        <family val="1"/>
      </rPr>
      <t>1</t>
    </r>
  </si>
  <si>
    <t>Received</t>
  </si>
  <si>
    <t>Monthly Interest Rate</t>
  </si>
  <si>
    <t>Interest Income (Expense)</t>
  </si>
  <si>
    <t>In Dollars</t>
  </si>
  <si>
    <t>Col. (b) + Col. (c)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</si>
  <si>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</si>
  <si>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</si>
  <si>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</si>
  <si>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 xml:space="preserve"> Gross plant does not include Unamortized Abandoned Plant.</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</si>
  <si>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</si>
  <si>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</si>
  <si>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</si>
  <si>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</si>
  <si>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</si>
  <si>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</si>
  <si>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</si>
  <si>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Attachment 4, Line 28, Col. (h) (Notes B and X)</t>
  </si>
  <si>
    <t xml:space="preserve">LAND HELD FOR FUTURE USE  </t>
  </si>
  <si>
    <t xml:space="preserve"> Total  (W&amp; S Allocator is 1 if lines 7-10 are zero)</t>
  </si>
  <si>
    <t>Reserved</t>
  </si>
  <si>
    <t>GENERAL, INTANGIBLE AND COMMON (G&amp;C) DEPRECIATION EXPENSE</t>
  </si>
  <si>
    <t>Annual Allocation Factor for G, I &amp; C Depreciation Expense</t>
  </si>
  <si>
    <t>Total G, I &amp; C Depreciation Expense</t>
  </si>
  <si>
    <t>(line 14 divided by line 2 col 3)</t>
  </si>
  <si>
    <t>Gross Transmission Plant is that identified on page 2 line 2 of Attachment H</t>
  </si>
  <si>
    <t>The Total General, Intangible and Common Depreciation Expense excludes any depreciation expense directly associated with a project and thereby included in page 2 column 9.</t>
  </si>
  <si>
    <t>Net Rev Req</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</si>
  <si>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</si>
  <si>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</si>
  <si>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</si>
  <si>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</si>
  <si>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</si>
  <si>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</si>
  <si>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</si>
  <si>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</si>
  <si>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</si>
  <si>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</si>
  <si>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</si>
  <si>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</si>
  <si>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</si>
  <si>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(Note B)</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</si>
  <si>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</si>
  <si>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</si>
  <si>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</si>
  <si>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</si>
  <si>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</si>
  <si>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</si>
  <si>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</si>
  <si>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Form No. 1</t>
  </si>
  <si>
    <t>321.112.b</t>
  </si>
  <si>
    <t>321.97.b</t>
  </si>
  <si>
    <t>321.96.b</t>
  </si>
  <si>
    <t>Portion of Account 566</t>
  </si>
  <si>
    <t>Balance of Account 566</t>
  </si>
  <si>
    <t>(Note S)</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</si>
  <si>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</si>
  <si>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</si>
  <si>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</si>
  <si>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</si>
  <si>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</si>
  <si>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When an updated projected net revenue requirement is posted due to an asset acquisition as provided for in the Protocols, the difference between the updated net revenue requirement in Col (16) and the revenues collected to date will be recovered</t>
  </si>
  <si>
    <t>Actual</t>
  </si>
  <si>
    <t>Projected</t>
  </si>
  <si>
    <t>Collection  (F)-(E)</t>
  </si>
  <si>
    <t>(G) + (H) + (I)</t>
  </si>
  <si>
    <t>5)  Prior Period Adjustment from line 5 is pro rata  to each project, unless the error was project specific.</t>
  </si>
  <si>
    <t>Rate Year being Trued-Up</t>
  </si>
  <si>
    <t>Revenue Requirement Projected</t>
  </si>
  <si>
    <t>For Rate Year</t>
  </si>
  <si>
    <t>Page 1 of 1</t>
  </si>
  <si>
    <t>Preferred Stock balance will reflect the 13 month average of the balances, of which the 1st and 13th are found on page 112 line 3.c &amp; d in the Form No. 1</t>
  </si>
  <si>
    <t xml:space="preserve">     T=1 - {[(1 - SIT) * (1 - FIT)] / (1 - SIT * FIT * p)}</t>
  </si>
  <si>
    <t>Page 1 of 2</t>
  </si>
  <si>
    <t>Enter the percentage paid for by the transmission formula customers</t>
  </si>
  <si>
    <t>Project Net Plant or CWIP Balance</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</si>
  <si>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</si>
  <si>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 xml:space="preserve">Project Name </t>
  </si>
  <si>
    <t>205.46.g for end of year, records for other months</t>
  </si>
  <si>
    <t>Competitive Bid Concession</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</si>
  <si>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</si>
  <si>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</si>
  <si>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</si>
  <si>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</si>
  <si>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</si>
  <si>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</si>
  <si>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</si>
  <si>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no amounts shall be credited to accounts 228.1 through 228.4 unless authorized by a regulatory authority or authorities to be collected in a utility’s rates.</t>
  </si>
  <si>
    <t>Y</t>
  </si>
  <si>
    <t>Attachment 4, Line 31, Col. (h)  (Note Y)</t>
  </si>
  <si>
    <t>REGIONAL NET REVENUE REQUIREMENT</t>
  </si>
  <si>
    <t>ZONAL NET REVENUE REQUIREMENT</t>
  </si>
  <si>
    <t>Regional True-up Adjustment with Interest</t>
  </si>
  <si>
    <t>REGIONAL NET REVENUE REQUIREMENT with TRUE-UP</t>
  </si>
  <si>
    <t>ZONAL NET REVENUE REQUIREMENT with TRUE-UP</t>
  </si>
  <si>
    <t>Zonal True-up Adjustment with Interest</t>
  </si>
  <si>
    <t xml:space="preserve">Zonal </t>
  </si>
  <si>
    <t>RTO Project Number or Zonal</t>
  </si>
  <si>
    <t>Zonal</t>
  </si>
  <si>
    <t>Projected balances are for the calendar year the revenue under this formula begins to be charged.</t>
  </si>
  <si>
    <t>Projected monthly balances that are expected to be included in 219.25.c for end of year and records for other months (Note I)</t>
  </si>
  <si>
    <t xml:space="preserve">For Projection </t>
  </si>
  <si>
    <t xml:space="preserve">ADIT Worksheet for Projection </t>
  </si>
  <si>
    <t>ADIT for the Projection</t>
  </si>
  <si>
    <t>(l)</t>
  </si>
  <si>
    <t>Beginning</t>
  </si>
  <si>
    <t>Weighting</t>
  </si>
  <si>
    <t>Beginning Balance/</t>
  </si>
  <si>
    <t>100% Allocator</t>
  </si>
  <si>
    <t>Plant</t>
  </si>
  <si>
    <t>Labor</t>
  </si>
  <si>
    <t>S/W Allocator</t>
  </si>
  <si>
    <t>Balance &amp;</t>
  </si>
  <si>
    <t xml:space="preserve"> for Projection</t>
  </si>
  <si>
    <t>Monthly Increment</t>
  </si>
  <si>
    <t>(f) x Allocator</t>
  </si>
  <si>
    <t xml:space="preserve"> Related</t>
  </si>
  <si>
    <t>(h) x Allocator</t>
  </si>
  <si>
    <t>Related</t>
  </si>
  <si>
    <t>(j) x Allocator</t>
  </si>
  <si>
    <t>ADIT</t>
  </si>
  <si>
    <t>Monthly</t>
  </si>
  <si>
    <t>(d) x [(g)+(i)+(k)]</t>
  </si>
  <si>
    <t>Changes</t>
  </si>
  <si>
    <t xml:space="preserve">From Attach H </t>
  </si>
  <si>
    <t>ADIT- 282</t>
  </si>
  <si>
    <t>Page 2, Line 18</t>
  </si>
  <si>
    <t>Page 4, Line 16</t>
  </si>
  <si>
    <t>Balance</t>
  </si>
  <si>
    <t>Increment</t>
  </si>
  <si>
    <t xml:space="preserve">Sum Ties to December </t>
  </si>
  <si>
    <t>ADIT-283</t>
  </si>
  <si>
    <t>Average</t>
  </si>
  <si>
    <t>ADIT-281</t>
  </si>
  <si>
    <t>ADIT-190</t>
  </si>
  <si>
    <t>For True-Up</t>
  </si>
  <si>
    <t>ADIT Worksheet for True-Up</t>
  </si>
  <si>
    <t>ADIT for True-Up</t>
  </si>
  <si>
    <t>from ADIT BOY</t>
  </si>
  <si>
    <t xml:space="preserve">and ADIT EOY </t>
  </si>
  <si>
    <t>workpapers</t>
  </si>
  <si>
    <t>ADIT BOY Worksheet</t>
  </si>
  <si>
    <t>Page 1 of 3</t>
  </si>
  <si>
    <t>Only</t>
  </si>
  <si>
    <t>a</t>
  </si>
  <si>
    <t>(From line 5 for the column)</t>
  </si>
  <si>
    <t>b</t>
  </si>
  <si>
    <t>(From line 17 for the column)</t>
  </si>
  <si>
    <t>c</t>
  </si>
  <si>
    <t>(From line 29 for the column)</t>
  </si>
  <si>
    <t>d</t>
  </si>
  <si>
    <t>Subtotal</t>
  </si>
  <si>
    <t>(Sum a - c)</t>
  </si>
  <si>
    <t>In filling out this attachment, a full and complete description of each item and justification for the allocation to Columns C-F and each separate ADIT item will be listed. Dissimilar items</t>
  </si>
  <si>
    <t>with amounts exceeding $100,000 will be listed separately.</t>
  </si>
  <si>
    <t>Gas, Prod</t>
  </si>
  <si>
    <t>Retail Or Other</t>
  </si>
  <si>
    <t xml:space="preserve">Plant </t>
  </si>
  <si>
    <t>Justification</t>
  </si>
  <si>
    <t>1a</t>
  </si>
  <si>
    <t>1b</t>
  </si>
  <si>
    <t>1c</t>
  </si>
  <si>
    <t>1d</t>
  </si>
  <si>
    <t>1e</t>
  </si>
  <si>
    <t>1f</t>
  </si>
  <si>
    <t>1g</t>
  </si>
  <si>
    <t>1h</t>
  </si>
  <si>
    <t>1i</t>
  </si>
  <si>
    <t>1j</t>
  </si>
  <si>
    <t>1k</t>
  </si>
  <si>
    <t>1l</t>
  </si>
  <si>
    <t>1m</t>
  </si>
  <si>
    <t>1n</t>
  </si>
  <si>
    <t>1o</t>
  </si>
  <si>
    <t>1p</t>
  </si>
  <si>
    <t>1q</t>
  </si>
  <si>
    <t>1r</t>
  </si>
  <si>
    <t>1s</t>
  </si>
  <si>
    <t>1t</t>
  </si>
  <si>
    <t>1u</t>
  </si>
  <si>
    <t>1v</t>
  </si>
  <si>
    <t>1w</t>
  </si>
  <si>
    <t>1x</t>
  </si>
  <si>
    <t>1y</t>
  </si>
  <si>
    <t>1z</t>
  </si>
  <si>
    <t>1aa</t>
  </si>
  <si>
    <t>1ab</t>
  </si>
  <si>
    <t>1ac</t>
  </si>
  <si>
    <t>1ad</t>
  </si>
  <si>
    <t>1ae</t>
  </si>
  <si>
    <t>1af</t>
  </si>
  <si>
    <t>1ag</t>
  </si>
  <si>
    <t>1ah</t>
  </si>
  <si>
    <t>1ai</t>
  </si>
  <si>
    <t>1aj</t>
  </si>
  <si>
    <t>1ak</t>
  </si>
  <si>
    <t>1al</t>
  </si>
  <si>
    <t>1am</t>
  </si>
  <si>
    <t>1an</t>
  </si>
  <si>
    <t>1ao</t>
  </si>
  <si>
    <t>1ap</t>
  </si>
  <si>
    <t>1aq</t>
  </si>
  <si>
    <t>1ar</t>
  </si>
  <si>
    <t>1as</t>
  </si>
  <si>
    <t>1at</t>
  </si>
  <si>
    <t>1au</t>
  </si>
  <si>
    <t>1av</t>
  </si>
  <si>
    <t>1aw</t>
  </si>
  <si>
    <t>1ax</t>
  </si>
  <si>
    <t>1ay</t>
  </si>
  <si>
    <t>1az</t>
  </si>
  <si>
    <t>1ba</t>
  </si>
  <si>
    <t>1bb</t>
  </si>
  <si>
    <t>1bc</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</si>
  <si>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</si>
  <si>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</si>
  <si>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</si>
  <si>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</si>
  <si>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</si>
  <si>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other than general plant, intangible plant or common plant and not in Columns C &amp; D are included in Column E</t>
  </si>
  <si>
    <t>4.  ADIT items related to labor, general plant, intangible plant, or common plant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</si>
  <si>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
  </si>
  <si>
    <t>the associated ADIT amount shall be excluded</t>
  </si>
  <si>
    <t>Page 2 of 3</t>
  </si>
  <si>
    <t>13a</t>
  </si>
  <si>
    <t>13b</t>
  </si>
  <si>
    <t>13c</t>
  </si>
  <si>
    <t>13d</t>
  </si>
  <si>
    <t>13e</t>
  </si>
  <si>
    <t>13f</t>
  </si>
  <si>
    <t>13g</t>
  </si>
  <si>
    <t>13h</t>
  </si>
  <si>
    <t>Instructions for Account 282:</t>
  </si>
  <si>
    <t>Page 3 of 3</t>
  </si>
  <si>
    <t>25a</t>
  </si>
  <si>
    <t>25b</t>
  </si>
  <si>
    <t>25c</t>
  </si>
  <si>
    <t>25d</t>
  </si>
  <si>
    <t>25e</t>
  </si>
  <si>
    <t>25f</t>
  </si>
  <si>
    <t>25g</t>
  </si>
  <si>
    <t>25h</t>
  </si>
  <si>
    <t>25i</t>
  </si>
  <si>
    <t>25j</t>
  </si>
  <si>
    <t>25k</t>
  </si>
  <si>
    <t>25l</t>
  </si>
  <si>
    <t>25m</t>
  </si>
  <si>
    <t>25n</t>
  </si>
  <si>
    <t>25o</t>
  </si>
  <si>
    <t>25p</t>
  </si>
  <si>
    <t>25q</t>
  </si>
  <si>
    <t>25r</t>
  </si>
  <si>
    <t>25s</t>
  </si>
  <si>
    <t>25t</t>
  </si>
  <si>
    <t>25u</t>
  </si>
  <si>
    <t>25v</t>
  </si>
  <si>
    <t>25w</t>
  </si>
  <si>
    <t>25x</t>
  </si>
  <si>
    <t>25y</t>
  </si>
  <si>
    <t>25z</t>
  </si>
  <si>
    <t>25aa</t>
  </si>
  <si>
    <t>25ab</t>
  </si>
  <si>
    <t>25ac</t>
  </si>
  <si>
    <t>25ad</t>
  </si>
  <si>
    <t>25ae</t>
  </si>
  <si>
    <t>25af</t>
  </si>
  <si>
    <t>….</t>
  </si>
  <si>
    <t>Instructions for Account 283:</t>
  </si>
  <si>
    <t>ADIT EOY Worksheet</t>
  </si>
  <si>
    <t>Account 454 - Rent from Electric Property</t>
  </si>
  <si>
    <t>Schedule 1A</t>
  </si>
  <si>
    <t>PJM Transitional Revenue Neutrality (Note 1)</t>
  </si>
  <si>
    <t>PJM Transitional Market Expansion (Note 1)</t>
  </si>
  <si>
    <t>Revenues from Directly Assigned Transmission Facility Charges (Note 2)</t>
  </si>
  <si>
    <t>Gross Revenue Credits</t>
  </si>
  <si>
    <t>Total Rent Revenues</t>
  </si>
  <si>
    <t>Professional Services (Note 3)</t>
  </si>
  <si>
    <t>Rent or Attachment Fees associated with Transmission Facilities (Note 3)</t>
  </si>
  <si>
    <t>Less line 17g</t>
  </si>
  <si>
    <t>Total Revenue Credits</t>
  </si>
  <si>
    <t>Revenue Adjustment to determine Revenue Credit</t>
  </si>
  <si>
    <t xml:space="preserve"> 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</si>
  <si>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</si>
  <si>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</si>
  <si>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</si>
  <si>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</si>
  <si>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</si>
  <si>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</si>
  <si>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</si>
  <si>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</si>
  <si>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</si>
  <si>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</si>
  <si>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</si>
  <si>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</si>
  <si>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</si>
  <si>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Line 17f less line 17a</t>
  </si>
  <si>
    <t>Total Account 454, 456 and 456.1</t>
  </si>
  <si>
    <t>Cost Item</t>
  </si>
  <si>
    <t>22a</t>
  </si>
  <si>
    <t>22b</t>
  </si>
  <si>
    <t>Total Lines 22</t>
  </si>
  <si>
    <t>Attachment 5A - Revenue Credit Workpaper</t>
  </si>
  <si>
    <t>Attachment 5B - A&amp;G Workpaper</t>
  </si>
  <si>
    <t>Attachment 4D - Intangible Plant Workpaper</t>
  </si>
  <si>
    <t>27a</t>
  </si>
  <si>
    <t>Pension Asset</t>
  </si>
  <si>
    <t>From PJM</t>
  </si>
  <si>
    <t xml:space="preserve">  Outstanding Network Credits</t>
  </si>
  <si>
    <t>INTEREST ON NETWORK CREDITS</t>
  </si>
  <si>
    <t xml:space="preserve">  Less Accum. Deprec. associated with Facilities with Outstanding Network Credits</t>
  </si>
  <si>
    <t>219.28.c for end of year, records for other months</t>
  </si>
  <si>
    <t xml:space="preserve">General </t>
  </si>
  <si>
    <t xml:space="preserve">Depreciation Expense - General </t>
  </si>
  <si>
    <t>Depreciation Expense</t>
  </si>
  <si>
    <t>Competitive Bid Concessions</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</si>
  <si>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</si>
  <si>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 base. </t>
  </si>
  <si>
    <t>207.99.g  minus 207.98.g for end of year, records for other months</t>
  </si>
  <si>
    <t>207.58.g minus 207.57.g.  Projected monthly balances that are the amounts expected to be included in 207.58.g for end of year and records for other months (Note I)</t>
  </si>
  <si>
    <t>(Attachment 2, Line 28 /100 * Col. 11 * Col. 6)</t>
  </si>
  <si>
    <t>Month (Note A)</t>
  </si>
  <si>
    <t xml:space="preserve">Average of lines 1-17 above </t>
  </si>
  <si>
    <t>21a</t>
  </si>
  <si>
    <t>21b</t>
  </si>
  <si>
    <t>21c</t>
  </si>
  <si>
    <t>17 Months</t>
  </si>
  <si>
    <t>Line 18 above</t>
  </si>
  <si>
    <t>Col. C x Col D x Col E</t>
  </si>
  <si>
    <t>Total PBOP expenses allowed (Note A)</t>
  </si>
  <si>
    <t>Total PBOP Expenses in A&amp;G in the current year</t>
  </si>
  <si>
    <t>PBOP Adjustment</t>
  </si>
  <si>
    <t>Line 1 minus line 2</t>
  </si>
  <si>
    <t>PECO Energy Company</t>
  </si>
  <si>
    <t>Accounts 561.4 and 561.8</t>
  </si>
  <si>
    <t>321.88.b &amp; 92.b</t>
  </si>
  <si>
    <t>Total Intangible Plant</t>
  </si>
  <si>
    <t>S&amp;W Allocation</t>
  </si>
  <si>
    <t>Gross Plant Allocation</t>
  </si>
  <si>
    <t>Non-Recoverable</t>
  </si>
  <si>
    <t>Administrative and General Salaries</t>
  </si>
  <si>
    <t>Office Supplies and Expenses</t>
  </si>
  <si>
    <t>Administrative Expenses Transferred-Credit</t>
  </si>
  <si>
    <t>Property Insurance</t>
  </si>
  <si>
    <t>Injuries and Damages</t>
  </si>
  <si>
    <t xml:space="preserve">Employee Pensions and Benefits </t>
  </si>
  <si>
    <t>Franchise Requirements</t>
  </si>
  <si>
    <t>Duplicate Charges-Credit</t>
  </si>
  <si>
    <t>Rents</t>
  </si>
  <si>
    <t>Maintenance of General Plant</t>
  </si>
  <si>
    <t>Allocation Factor</t>
  </si>
  <si>
    <t>PJM Project Number or Zonal</t>
  </si>
  <si>
    <t>The Account 216.1 balance is input only if positive number in the FERC Form No. 1 (112.12.c).</t>
  </si>
  <si>
    <t>Electric</t>
  </si>
  <si>
    <t>Common</t>
  </si>
  <si>
    <t>Zero</t>
  </si>
  <si>
    <t>(except ADIT which is the amount shown on Attachment 4A)</t>
  </si>
  <si>
    <t>Attachment 4A, line 20 for the projection and line 44 for the true-up</t>
  </si>
  <si>
    <t>Attachment 4A, line 14 for the projection and line 38 for the true-up</t>
  </si>
  <si>
    <t>Attachment 4A, line 17 for the projection and line 41 for the true-up</t>
  </si>
  <si>
    <t>Attachment 4A, line 34 for the projection and line 47 for the true-up</t>
  </si>
  <si>
    <t>Attachment 4, Line 14, Col. (e)</t>
  </si>
  <si>
    <t xml:space="preserve">Less Transmission plant excluded from PJM rates  </t>
  </si>
  <si>
    <t>Transmission plant included in PJM rates</t>
  </si>
  <si>
    <t xml:space="preserve">Percentage of Transmission plant included in PJM Rates  </t>
  </si>
  <si>
    <t>Revenues associated with transmission service not provided under the PJM OATT (Note 4)</t>
  </si>
  <si>
    <t xml:space="preserve">  General</t>
  </si>
  <si>
    <t xml:space="preserve">  Intangible</t>
  </si>
  <si>
    <t xml:space="preserve">   Account 566</t>
  </si>
  <si>
    <t xml:space="preserve">   PBOP Adjustment</t>
  </si>
  <si>
    <t>FERC Account</t>
  </si>
  <si>
    <t>O&amp;M Cost To Achieve</t>
  </si>
  <si>
    <t>b0269</t>
  </si>
  <si>
    <t>b0287</t>
  </si>
  <si>
    <t>b1591</t>
  </si>
  <si>
    <t>b0269.6</t>
  </si>
  <si>
    <t>b0171.1</t>
  </si>
  <si>
    <t>b0727</t>
  </si>
  <si>
    <t>b2140</t>
  </si>
  <si>
    <t>b1182</t>
  </si>
  <si>
    <t>b1717</t>
  </si>
  <si>
    <t>b1178</t>
  </si>
  <si>
    <t>b0790</t>
  </si>
  <si>
    <t>b0506</t>
  </si>
  <si>
    <t>b0505</t>
  </si>
  <si>
    <t>b0789</t>
  </si>
  <si>
    <t>b0206</t>
  </si>
  <si>
    <t>b0207</t>
  </si>
  <si>
    <t>b0208</t>
  </si>
  <si>
    <t>b0209</t>
  </si>
  <si>
    <t>b0357</t>
  </si>
  <si>
    <t>17h</t>
  </si>
  <si>
    <t>17i</t>
  </si>
  <si>
    <t>17j</t>
  </si>
  <si>
    <t>17k</t>
  </si>
  <si>
    <t>17l</t>
  </si>
  <si>
    <t>17m</t>
  </si>
  <si>
    <t>17o</t>
  </si>
  <si>
    <t>17p</t>
  </si>
  <si>
    <t>17q</t>
  </si>
  <si>
    <t>17r</t>
  </si>
  <si>
    <t>17s</t>
  </si>
  <si>
    <t>17u</t>
  </si>
  <si>
    <t>17v</t>
  </si>
  <si>
    <t>17w</t>
  </si>
  <si>
    <t>17x</t>
  </si>
  <si>
    <t>17y</t>
  </si>
  <si>
    <t>17z</t>
  </si>
  <si>
    <t>Attachment 1, line 17a, col. 15</t>
  </si>
  <si>
    <t>Attachment 1, line 18, col. 13</t>
  </si>
  <si>
    <t>(Sum of Lines 43 through 45)</t>
  </si>
  <si>
    <t>(Sum of Lines 26, 40, 41 &amp; 46)</t>
  </si>
  <si>
    <t>(Line 7 plus Line 8) Ties to 321.97.b</t>
  </si>
  <si>
    <t>Depreciation Expense - Common</t>
  </si>
  <si>
    <t>WCLTD = Page 4, Line 19</t>
  </si>
  <si>
    <t>(Attachment 5, line 10    Notes Q &amp; R)</t>
  </si>
  <si>
    <t>(Attachment 5, line 11   Notes Q &amp; R)</t>
  </si>
  <si>
    <t>(Attachment 5, line 12  Notes K, Q &amp; R)</t>
  </si>
  <si>
    <t>Regulatory Commission Expenses (Note E)</t>
  </si>
  <si>
    <t>Zonal on line 17a refers to all projects not qualifying for regional recovery</t>
  </si>
  <si>
    <t>Common Stock balance will reflect the 13 month average of the balances, of which the 1st and 13th are found on page 112 lines 3.c &amp; d,  12.c &amp; d, and 16.c &amp; d in the Form No. 1 as shown on lines 10-12 above</t>
  </si>
  <si>
    <t>Calculated on Attachment 4A.</t>
  </si>
  <si>
    <t>PECO Total</t>
  </si>
  <si>
    <t>Account 456 &amp; 456.1 - Other Electric Revenues (Note 1)</t>
  </si>
  <si>
    <t xml:space="preserve">Unfunded Reserves are customer contributed capital such as when Injuries and Damages expense is accrued but not yet incurred.  Also, pursuant to Special Instructions to Accounts 228.1 through 228.4, </t>
  </si>
  <si>
    <t>Attachment 3, Col. G + Col H</t>
  </si>
  <si>
    <t>Attachment 4, Line 14, Col. (g)</t>
  </si>
  <si>
    <t>Gross Plant</t>
  </si>
  <si>
    <t>IT NERC CIP - Transmission</t>
  </si>
  <si>
    <t>IT NERC CIP - Distribution</t>
  </si>
  <si>
    <t>Distribution</t>
  </si>
  <si>
    <t>(m)</t>
  </si>
  <si>
    <t>(n)</t>
  </si>
  <si>
    <t>(o)</t>
  </si>
  <si>
    <t>(p)</t>
  </si>
  <si>
    <t>(q)</t>
  </si>
  <si>
    <t>(r)</t>
  </si>
  <si>
    <t>Net Plant in Service</t>
  </si>
  <si>
    <t>Total Intangible - Transmission</t>
  </si>
  <si>
    <t>(s)</t>
  </si>
  <si>
    <t>=average(b:n)</t>
  </si>
  <si>
    <t>IT DSP - Distribution</t>
  </si>
  <si>
    <t>IT Smart Meter - Distribution</t>
  </si>
  <si>
    <t xml:space="preserve">  Pension Asset</t>
  </si>
  <si>
    <t>16a</t>
  </si>
  <si>
    <t>16b</t>
  </si>
  <si>
    <t>16c</t>
  </si>
  <si>
    <t>Consistent with 266.8.b, 266.17.b, 267.8.h &amp; 267.17.h</t>
  </si>
  <si>
    <t>Public Claims - Long term</t>
  </si>
  <si>
    <t>Electric Transmission</t>
  </si>
  <si>
    <t xml:space="preserve">Electric Distribution </t>
  </si>
  <si>
    <t>Electric Other</t>
  </si>
  <si>
    <t xml:space="preserve">Electric Production </t>
  </si>
  <si>
    <t>323.181.b to 323.196.b</t>
  </si>
  <si>
    <t>b1590.1 and b1590.2 (cancelled b1398.6)</t>
  </si>
  <si>
    <t>Richmond-Waneeta 230 kV Line Re-conductor</t>
  </si>
  <si>
    <t>Whitpain 500 kV Circuit Breaker Addition</t>
  </si>
  <si>
    <t>Elroy-Hosensack 500 kV Line Rating Increase</t>
  </si>
  <si>
    <t>Camden-Richmond 230 kV Line Rating Increase</t>
  </si>
  <si>
    <t>Bryn Mawr-Plymouth 138 kV Line Rebuild</t>
  </si>
  <si>
    <t>Emilie 230-138 kV Transformer Addition</t>
  </si>
  <si>
    <t>Chichester-Saville 138 kV Line Re-conductor</t>
  </si>
  <si>
    <t>Waneeta 230-138 kV Transformer Addition</t>
  </si>
  <si>
    <t>Chichester 230-138 kV Transformer Addition</t>
  </si>
  <si>
    <t>Bradford-Planebrook 230 kV Line Upgrades</t>
  </si>
  <si>
    <t>North Wales-Hartman 230 kV Line Re-conductor</t>
  </si>
  <si>
    <t>Planebrook 230 kV Capacitor Bank Addition</t>
  </si>
  <si>
    <t>Newlinville 230 kV Capacitor Bank Addition</t>
  </si>
  <si>
    <t>Chichester-Mickleton 230 kV Series Reactor Addition</t>
  </si>
  <si>
    <t>Buckingham-Pleasant Valley 230 kV Line Re-conductor</t>
  </si>
  <si>
    <t>IT Post 2010 and Other - Distribution</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</si>
  <si>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and by department the revenues and costs associated with each secondary use (except for the cost of the associated income taxes). The cost associated with the secondary transmission use is 3/4 of the total department costs.</t>
  </si>
  <si>
    <t>Accounts booked to</t>
  </si>
  <si>
    <t>3d</t>
  </si>
  <si>
    <t>3e</t>
  </si>
  <si>
    <t>3f</t>
  </si>
  <si>
    <t>3g</t>
  </si>
  <si>
    <t>3h</t>
  </si>
  <si>
    <t>3i</t>
  </si>
  <si>
    <t>3j</t>
  </si>
  <si>
    <t>3k</t>
  </si>
  <si>
    <t>3l</t>
  </si>
  <si>
    <t>3m</t>
  </si>
  <si>
    <t>3o</t>
  </si>
  <si>
    <t>3p</t>
  </si>
  <si>
    <t>3q</t>
  </si>
  <si>
    <t>3r</t>
  </si>
  <si>
    <t>3s</t>
  </si>
  <si>
    <t>3u</t>
  </si>
  <si>
    <t>3v</t>
  </si>
  <si>
    <t>3w</t>
  </si>
  <si>
    <t>3x</t>
  </si>
  <si>
    <t>3y</t>
  </si>
  <si>
    <t>Rent from Electric Property - Transmission Related, Subject to Sharing (Note 3)</t>
  </si>
  <si>
    <t>Rent from Electric Property - Transmission Related, Pass to Customers (Note 3)</t>
  </si>
  <si>
    <t>Intercompany Professional Services</t>
  </si>
  <si>
    <t>Total Amount</t>
  </si>
  <si>
    <t>Transmission Costs</t>
  </si>
  <si>
    <t>Total Costs</t>
  </si>
  <si>
    <t>S&amp;W Allocation Factor</t>
  </si>
  <si>
    <t>Costs Recovered Through A&amp;G Costs</t>
  </si>
  <si>
    <t>FERC Account 454</t>
  </si>
  <si>
    <t>Network Integration Credit</t>
  </si>
  <si>
    <t>Transmission Owner Scheduling Credits</t>
  </si>
  <si>
    <t>Revenue - Firm Point to Point</t>
  </si>
  <si>
    <t>Other</t>
  </si>
  <si>
    <t>100% Transmission</t>
  </si>
  <si>
    <t>Plant Related</t>
  </si>
  <si>
    <t>Labor Related</t>
  </si>
  <si>
    <t>Rent from Electric Distribution</t>
  </si>
  <si>
    <t>Rent from Electric Transmission</t>
  </si>
  <si>
    <t>Intercompany Rent</t>
  </si>
  <si>
    <t>Allocation Factors</t>
  </si>
  <si>
    <t>Allocated Amount</t>
  </si>
  <si>
    <t>FERC Account 456</t>
  </si>
  <si>
    <t>Decommissioning remittances to Generation</t>
  </si>
  <si>
    <t>Make Ready</t>
  </si>
  <si>
    <t>FERC Account 456.1</t>
  </si>
  <si>
    <t>24a</t>
  </si>
  <si>
    <t>24b</t>
  </si>
  <si>
    <t>24c</t>
  </si>
  <si>
    <t>24d</t>
  </si>
  <si>
    <t>Total  Lines 24</t>
  </si>
  <si>
    <t>Total  Lines 25</t>
  </si>
  <si>
    <t>Total  Lines 26</t>
  </si>
  <si>
    <t>26a</t>
  </si>
  <si>
    <t>26b</t>
  </si>
  <si>
    <t>26c</t>
  </si>
  <si>
    <t>26d</t>
  </si>
  <si>
    <t>ACCRUED BENEFITS</t>
  </si>
  <si>
    <t>Excluded because the underlying account(s) are not included in model</t>
  </si>
  <si>
    <t>ADDBACK OF NQSO EXPENSE</t>
  </si>
  <si>
    <t>ADDBACK OF OTHER EQUITY COMP EXPENSE</t>
  </si>
  <si>
    <t>AMORT-ORGANIZATIONAL COSTS</t>
  </si>
  <si>
    <t>BAD DEBT - CHANGE IN PROVISION</t>
  </si>
  <si>
    <t>CHARITABLE CARRYFORWARD</t>
  </si>
  <si>
    <t>CUSTOMER ADVANCES - CONSTRUCTION</t>
  </si>
  <si>
    <t>DEFERRED COMPENSATION</t>
  </si>
  <si>
    <t>FAS 112</t>
  </si>
  <si>
    <t xml:space="preserve">Gross Up-Bill E Credit </t>
  </si>
  <si>
    <t>INJURIES AND DAMAGE PAYMENTS</t>
  </si>
  <si>
    <t>MERGER COSTS NC</t>
  </si>
  <si>
    <t>OBSOLETE MATERIALS PROVISION</t>
  </si>
  <si>
    <t>OTHER CURRENT</t>
  </si>
  <si>
    <t>OTHER CURRENT REG ASSET</t>
  </si>
  <si>
    <t>POLE ATTACHMENT RESERVE</t>
  </si>
  <si>
    <t>RESERVE FOR EMPLOYEE LITIGATIONS Current</t>
  </si>
  <si>
    <t>SA UNBILLED RESERVE</t>
  </si>
  <si>
    <t>SECA REFUND</t>
  </si>
  <si>
    <t>SEPTA RAILROAD RENT</t>
  </si>
  <si>
    <t>SEVERANCE PMTS CHANGE IN PROVISION</t>
  </si>
  <si>
    <t>VEGETATION MGMT ACCRUAL</t>
  </si>
  <si>
    <t>WORKERS COMPENSATION RESERVE</t>
  </si>
  <si>
    <t xml:space="preserve">Included because plant in service is included in rate base.  </t>
  </si>
  <si>
    <t>Electric General</t>
  </si>
  <si>
    <t>AEC RECEIVABLE</t>
  </si>
  <si>
    <t>CAP FORGIVENESS REG ASSET</t>
  </si>
  <si>
    <t>CAP SHOPPING REG ASSET</t>
  </si>
  <si>
    <t>DSP 2 - REGULATORY ASSET</t>
  </si>
  <si>
    <t>ELEC RATE CASE EXP - REG ASSET</t>
  </si>
  <si>
    <t>HOLIDAY PAY CHANGE IN PROVISION</t>
  </si>
  <si>
    <t>FIN 47 ARO</t>
  </si>
  <si>
    <t>INCENTIVE PAY</t>
  </si>
  <si>
    <t>PENSION EXPENSE PROVISION</t>
  </si>
  <si>
    <t>POST RETIREMENT BENEFITS</t>
  </si>
  <si>
    <t>VACATION PAY CHANGE IN PROVISION</t>
  </si>
  <si>
    <t>ACT 129 SMART METER</t>
  </si>
  <si>
    <t>AMORT-BK-PREMIUMS ON REACQD DEBT-9.5%</t>
  </si>
  <si>
    <t>STATE TAX RESERVE</t>
  </si>
  <si>
    <t>Chichester-Linwood 230 kV Line Upgrades</t>
  </si>
  <si>
    <t>b1900</t>
  </si>
  <si>
    <t>Workers Compensation - short term</t>
  </si>
  <si>
    <t>Workers Compensation - long term</t>
  </si>
  <si>
    <t>Public claims - Short Term</t>
  </si>
  <si>
    <t>Accrued Septa Railroad Rent - transmission</t>
  </si>
  <si>
    <t>Project Depreciation Expense is the actual value booked for the project and included in the Depreciation Expense in Attachment H, page 3, line 14.  Project Depreciation Expense includes the amortization of Abandoned Plant</t>
  </si>
  <si>
    <t xml:space="preserve">  Common - Electric</t>
  </si>
  <si>
    <t>Related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</si>
  <si>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No current book activity, tax deducts as distributions are made from the trust - employees in all functions.</t>
  </si>
  <si>
    <t>Book expense recorded when stock is granted, tax expense when stock is issued at market price - employees in all functions.</t>
  </si>
  <si>
    <t>Retail bad debt. For book, expense taken as it's identified; tax deduction not taken until fully written-off and all collection efforts abandoned. Relates to retail operations.</t>
  </si>
  <si>
    <t>Book records estimated accrued compensation; tax deducts only upon the retirement or other separation from service by the employees. Relates to all functions.</t>
  </si>
  <si>
    <t>Employer provided benefits to former employees but before retirement.</t>
  </si>
  <si>
    <t>Book records an accrual in filing year on estimated payouts; tax reverses the accrual and deducts the actual paid out.  Relates to all functions.</t>
  </si>
  <si>
    <t>Books records an estimated liability for injuries and damages; tax purposes a deduction is only taken when actual payments are made.</t>
  </si>
  <si>
    <t>DEFFERRED CHARGES - TAX REPAIRS BILL CREDIT-DIST</t>
  </si>
  <si>
    <t>FACILITY COMMITMENT FEES</t>
  </si>
  <si>
    <t>Debt related</t>
  </si>
  <si>
    <t>FINES &amp; OTHER</t>
  </si>
  <si>
    <t>OTHER NONCURRENT- RAILROAD LIABILITY</t>
  </si>
  <si>
    <t>Related to reserve for required maintenance on right of ways.</t>
  </si>
  <si>
    <t>OTHER UNEARNED REVENUE-DEFERRED RENTS</t>
  </si>
  <si>
    <t>Rent expense deferred and amortized ratably for books, tax deduction when paid - used for all functions.</t>
  </si>
  <si>
    <t>Book accrues and capitalizes anticipated Pension costs based on actuarial analysis.  Tax deducts or capitalizes retirement benefits only when the amounts are paid.  Related to all functions.</t>
  </si>
  <si>
    <t xml:space="preserve">Book accrues anticipated post retirement costs based on actuarial analysis.  Tax deducts retirement benefits only when the amounts are paid or contributed to a fund. </t>
  </si>
  <si>
    <t>Related to reserves associated with ongoing and/or pending litigation.  These are not legal service fees, but accrual for possible liability payments upon resolution of ongoing litigation matters.  Since we have accrued, but not yet paid, we have to book the tax reserve.</t>
  </si>
  <si>
    <t>Retail related</t>
  </si>
  <si>
    <t>Reserve for potential transmission rent expense</t>
  </si>
  <si>
    <t>Book records an accrual; tax takes the deduction when actually paid. Relates to all functions.</t>
  </si>
  <si>
    <t>Capitalized portion of vacation pay earned and expensed for books, tax takes the deduction when paid out. Related to all functions.</t>
  </si>
  <si>
    <t>These accounts are reserves for public claims, workers compensation and other third party incidents.  For tax purposes these are not deductible until paid. Related to all functions.</t>
  </si>
  <si>
    <t>Included because plant in service is included in rate base.</t>
  </si>
  <si>
    <t>Related to Distribution property.</t>
  </si>
  <si>
    <t xml:space="preserve">Book recapitalizes costs incurred to retire or reacquire debt issuances.  Tax deducts these costs when incurred. </t>
  </si>
  <si>
    <t>ENERGY EFFICIENCY REG ASSET</t>
  </si>
  <si>
    <t>Gross Up on State Def Tax Adj- AMR Reg Asset</t>
  </si>
  <si>
    <t>The book expense on Jan 1 of calendar year; accelerated tax expense taken in previous calendar year. Related to all functions.</t>
  </si>
  <si>
    <t>OCI-Def FIT &amp; SIT</t>
  </si>
  <si>
    <t>OTHER CURRENT REG ASSET:</t>
  </si>
  <si>
    <t>LOSS OF REAQUIRED DEBT</t>
  </si>
  <si>
    <t>Book recapitalizes costs incurred to retire or reacquire debt issuances.  Tax deducts these costs when incurred. Included in debt capitalization ratio on Appendix A, line 111.</t>
  </si>
  <si>
    <t>VACATION ACCRUAL</t>
  </si>
  <si>
    <t>Current portion of vacation pay earned and expensed for books, tax takes the deduction when paid out. Related to all functions.</t>
  </si>
  <si>
    <t>SMART METER</t>
  </si>
  <si>
    <t>PURTA</t>
  </si>
  <si>
    <t>Property taxes. Book records on an accrual method based on the prior year; tax reverses the book accrual and deducts the actual payments made. . Relates to all functions.</t>
  </si>
  <si>
    <t>SEAMLESS MOVES</t>
  </si>
  <si>
    <t>Gas Related</t>
  </si>
  <si>
    <t>The state income tax is cash basis</t>
  </si>
  <si>
    <t>Not Subject to Proration</t>
  </si>
  <si>
    <t>FERC Monthly Interest Rate</t>
  </si>
  <si>
    <t>Attachment H-7</t>
  </si>
  <si>
    <t>To be completed in conjunction with Attachment H-7.</t>
  </si>
  <si>
    <t xml:space="preserve"> in Attachment H-7 that are not the result of a timing difference</t>
  </si>
  <si>
    <t>(…)</t>
  </si>
  <si>
    <t>Depreciation (Monthly Change of Accumulated Depreciation from above)</t>
  </si>
  <si>
    <t>Prior Period Adjustments</t>
  </si>
  <si>
    <t xml:space="preserve">Total ADIT </t>
  </si>
  <si>
    <t>(x)</t>
  </si>
  <si>
    <t>Net Plant = Gross Plant Minus Accumulated Depreciation from above</t>
  </si>
  <si>
    <t>Costs Allocation to Transmission   (Note A)</t>
  </si>
  <si>
    <t>Firm Point to Point Service revenues for which the load is not included in the divisor received by transmission owner</t>
  </si>
  <si>
    <t>Portion not Capitalized</t>
  </si>
  <si>
    <t xml:space="preserve">The source of the amounts from the Actuary Study supporting the amount in line 1, column (b) is the 3rd page of the attachment to </t>
  </si>
  <si>
    <t>Electric Labor (354.28.b)</t>
  </si>
  <si>
    <t>the January 24, 2017 Willis Towers Watson report on PBOPs for PECO.</t>
  </si>
  <si>
    <t>(A)</t>
  </si>
  <si>
    <t>(B)</t>
  </si>
  <si>
    <t>(C)</t>
  </si>
  <si>
    <t>(D)</t>
  </si>
  <si>
    <t>(E)</t>
  </si>
  <si>
    <t>(F)</t>
  </si>
  <si>
    <t>(G)</t>
  </si>
  <si>
    <t>(H)</t>
  </si>
  <si>
    <t>(I)</t>
  </si>
  <si>
    <t>(J)</t>
  </si>
  <si>
    <t>Gross Depreciable</t>
  </si>
  <si>
    <t>Accumulated</t>
  </si>
  <si>
    <t>Depreciation</t>
  </si>
  <si>
    <t>Estimated</t>
  </si>
  <si>
    <t>Mortality</t>
  </si>
  <si>
    <t>Weighted Average</t>
  </si>
  <si>
    <t>Expense</t>
  </si>
  <si>
    <t>Number</t>
  </si>
  <si>
    <t>Plant Type</t>
  </si>
  <si>
    <t>Life</t>
  </si>
  <si>
    <t>Curve</t>
  </si>
  <si>
    <t>Remaining Life</t>
  </si>
  <si>
    <t>Structures and Improvements</t>
  </si>
  <si>
    <t>Station Equipment</t>
  </si>
  <si>
    <t>Towers and Fixtures</t>
  </si>
  <si>
    <t>R4</t>
  </si>
  <si>
    <t>Poles and Fixtures</t>
  </si>
  <si>
    <t>Overhead Conductors and Devices</t>
  </si>
  <si>
    <t>Underground Conduit</t>
  </si>
  <si>
    <t>Underground Conductors and Devices</t>
  </si>
  <si>
    <t>Roads and Trails</t>
  </si>
  <si>
    <t>R1</t>
  </si>
  <si>
    <t>Office Furniture and Equipment - Office Machines</t>
  </si>
  <si>
    <t>SQ</t>
  </si>
  <si>
    <t>Office Furniture and Equipment - Furnitures and Fixtures</t>
  </si>
  <si>
    <t>Office Furniture and Equipment - Computers</t>
  </si>
  <si>
    <t>Office Furniture and Equipment - Smart Meter Comp. Equip.</t>
  </si>
  <si>
    <t>Stores Equipment</t>
  </si>
  <si>
    <t>Tools, Shop, Garage Equipment</t>
  </si>
  <si>
    <t>Laboratory Equipment - Testing</t>
  </si>
  <si>
    <t>Laboratory Equipment - Meters</t>
  </si>
  <si>
    <t>Communication Equipment</t>
  </si>
  <si>
    <t>L3</t>
  </si>
  <si>
    <t>Communication Equipment - Smart Meters</t>
  </si>
  <si>
    <t>S2</t>
  </si>
  <si>
    <t>Miscellaneous Equipment</t>
  </si>
  <si>
    <t>Electric Intangible</t>
  </si>
  <si>
    <t>N/A</t>
  </si>
  <si>
    <t>Regulatory Initiatives/Depr Charged to Reg Asset</t>
  </si>
  <si>
    <t>Transportation Equipment - Automobiles</t>
  </si>
  <si>
    <t>Transportation Equipment - Light Trucks</t>
  </si>
  <si>
    <t>L4</t>
  </si>
  <si>
    <t>Transportation Equipment - Heavy Trucks</t>
  </si>
  <si>
    <t>Transportation Equipment - Tractors</t>
  </si>
  <si>
    <t>L2</t>
  </si>
  <si>
    <t>Transportation Equipment - Trailers</t>
  </si>
  <si>
    <t>R2</t>
  </si>
  <si>
    <t>Transportation Equipment - Other Vehicles</t>
  </si>
  <si>
    <t>Tools, Shop, Garage Equipment - Construction Tools</t>
  </si>
  <si>
    <t>Tools, Shop, Garage Equipment - Common Tools</t>
  </si>
  <si>
    <t>Tools, Shop, Garage Equipment - Garage Equipment</t>
  </si>
  <si>
    <t>Power Operated Equipment</t>
  </si>
  <si>
    <t>At least every 5 years, PECO Energy Company will file with the Commission a depreciation study supporting its existing Estimated Life and Mortality Curve for each account or subaccount.</t>
  </si>
  <si>
    <t>North Wales-Whitpain 230 kV Line Re-conductor</t>
  </si>
  <si>
    <t>Chichester-Mickleton 230 kV Line Re-conductor</t>
  </si>
  <si>
    <t>Net Depreciable</t>
  </si>
  <si>
    <t>Note 2</t>
  </si>
  <si>
    <t>(I)=(G)-(H)</t>
  </si>
  <si>
    <t>Column (I) is the end of year depreciable net plant in the account or subaccount.</t>
  </si>
  <si>
    <t xml:space="preserve">The depreciation expense associated with Asset Retirement Obligations (booked to accounts 359.1 and 399.1) are not included in the tables above. </t>
  </si>
  <si>
    <t>Subtotal - p234.8.c</t>
  </si>
  <si>
    <t>Subtotal - p234.8.b</t>
  </si>
  <si>
    <t>Subtotal - p275.2.k</t>
  </si>
  <si>
    <t>Subtotal - p275.2.b</t>
  </si>
  <si>
    <t xml:space="preserve">Subtotal - p277.9.k </t>
  </si>
  <si>
    <t>Subtotal - p276.9.b</t>
  </si>
  <si>
    <t>Attachment 4A</t>
  </si>
  <si>
    <t>Attachment 4B</t>
  </si>
  <si>
    <t>Attachment 4C</t>
  </si>
  <si>
    <t>Attachment 1, line 18, col. 14 - Attachment 1, line 17a, col. 14</t>
  </si>
  <si>
    <t>Attachment 1, line 18, col. 15 - Attachment 1, line 17a, col. 15</t>
  </si>
  <si>
    <t>Attachment 1, line 18, col. 16 - Attachment 1, line 17a, col. 16</t>
  </si>
  <si>
    <t>Attachment 4D, Line 19, Col. (s) and Line 21, Col. (s)</t>
  </si>
  <si>
    <t>Attachment 4, Line 14, Col. (d)</t>
  </si>
  <si>
    <t>(enter negative) Attach. 4E, Line 25, Col. (x)</t>
  </si>
  <si>
    <t>(Sum of Lines 1 through 7)</t>
  </si>
  <si>
    <t>(enter negative) Attach. 4E, Line 39, Col. (x)</t>
  </si>
  <si>
    <t>(Sum of Lines 10 through 16)</t>
  </si>
  <si>
    <t>(Sum of Lines 19 through 25)</t>
  </si>
  <si>
    <t>Attachment 4, Line 28, Col. (d) (Notes B and X)</t>
  </si>
  <si>
    <t>Attachment 4, Line 28, Col. (i)</t>
  </si>
  <si>
    <t>Attachment 4, Line 28, Col. (b) (Note T)</t>
  </si>
  <si>
    <t>Attachment 4, Line 28, Col. (c) (Note S)</t>
  </si>
  <si>
    <t>(Sum of Lines 28 through 39)</t>
  </si>
  <si>
    <t>1/8*(Page 3, Line 12 minus Page 3, Line 7)</t>
  </si>
  <si>
    <t>Attachment 5, Line 1, Col. (a)</t>
  </si>
  <si>
    <t xml:space="preserve">Attachment 5, Line 1, Col. (b) </t>
  </si>
  <si>
    <t>Attachment 5, Line 1, Col. (c)</t>
  </si>
  <si>
    <t xml:space="preserve">Attachment 5, Line 1, Col. (d) </t>
  </si>
  <si>
    <t>(Note T) Attachment 5, Line 1, Col. (e)</t>
  </si>
  <si>
    <t>Attachment 5, Line 1, Col .(f)</t>
  </si>
  <si>
    <t>Attachment 5, Line 1, Col. (g)</t>
  </si>
  <si>
    <t>Attachment 5, Line 2, Col. (a)</t>
  </si>
  <si>
    <t>Attachment 5, Line 1, Col. (h)</t>
  </si>
  <si>
    <t>(Note S) Attachment 5, Line 2, Col. (b)</t>
  </si>
  <si>
    <t>Attachment 7, line 3, Col. (d)</t>
  </si>
  <si>
    <t>(enter negative) Attachment 4E, Line 66, Col (x)</t>
  </si>
  <si>
    <t>Attachment 5, Line 2, Col. (c)</t>
  </si>
  <si>
    <t>Attachment 5, Line 2, Col. (d)</t>
  </si>
  <si>
    <t>Attachment 5, Line 2, Col. (f)</t>
  </si>
  <si>
    <t>Attachment 5, Line 2, Col. (g)</t>
  </si>
  <si>
    <t>Attachment 5, Line 2, Col. (h)</t>
  </si>
  <si>
    <t>Attachment 5, Line 2, Col. (k) (Note W)</t>
  </si>
  <si>
    <t>(Attachment 5, line 13)</t>
  </si>
  <si>
    <t>Attach H-7, p 2, line 2 col 5  (Note A)</t>
  </si>
  <si>
    <t>Attach H-7, p 2, line 20 col 5 plus line 34 &amp; 37 col 5 (Note B)</t>
  </si>
  <si>
    <t>Attach H-7, p 3, line 12 col 5</t>
  </si>
  <si>
    <t>Attach H-7, p 3, line 30 col 5</t>
  </si>
  <si>
    <t>Attach H-7, p 1, line 2 col 5</t>
  </si>
  <si>
    <t>Attach H-7, p 3, line 45 col 5</t>
  </si>
  <si>
    <t>Attach H-7, p 3, lines 15 to 18, col 5 (Note H)</t>
  </si>
  <si>
    <t>(Attachment H-7, Notes Q and R)</t>
  </si>
  <si>
    <t>(Attachment H-7, Notes K, Q and R)</t>
  </si>
  <si>
    <t xml:space="preserve">Attachment H-7, Page 2 line 47, Col.5 </t>
  </si>
  <si>
    <t>Attachment H-7, Page 3, Line 38</t>
  </si>
  <si>
    <t>Attachment H-7, Page 3, Line 39</t>
  </si>
  <si>
    <t>Attachment H-7, Page 3, Line 40</t>
  </si>
  <si>
    <t>Property Related ADIT, Excl. ARO</t>
  </si>
  <si>
    <t>Return    (Attach. H-7, page 3 line 47 col 5)</t>
  </si>
  <si>
    <t>Income Tax    (Attach. H-7, page 3 line 45 col 5)</t>
  </si>
  <si>
    <t>All transmission facilities reflected in the revenue requirement on Attachment H-7, page 1 line 3 are to be included in this Attachment 1.</t>
  </si>
  <si>
    <t xml:space="preserve">  Common Depreciation Expense Related to Costs To Achieve</t>
  </si>
  <si>
    <t>(Page 2, Line 47 times Page 4, Line 18)</t>
  </si>
  <si>
    <t>R = Page 4, Line 15</t>
  </si>
  <si>
    <t>Cost = Attachment H-7, Page 4 Line 17, Cost plus .01</t>
  </si>
  <si>
    <t>Electric Only, Form No 1, page 356 for end of year, records for other months</t>
  </si>
  <si>
    <t xml:space="preserve">  Common</t>
  </si>
  <si>
    <t>Capital Cost To Achieve included in the Electric Portion of Common Plant</t>
  </si>
  <si>
    <t xml:space="preserve">  Costs To Achieve </t>
  </si>
  <si>
    <t>Attachment 1, line 17a, col. 14 less line 2</t>
  </si>
  <si>
    <t>Column (G) is the depreciable amount of gross plant investment reported in the annual FERC Form No. 1 filing on pages 207 (Electric) and 356 (Common) by account or subaccount. Column (H) is the accumulated depreciation by account or subaccount.</t>
  </si>
  <si>
    <t>Zonal Load</t>
  </si>
  <si>
    <t>1 CP from PJM in MW</t>
  </si>
  <si>
    <t xml:space="preserve">Network Integration Transmission Service rate for PECO Zone </t>
  </si>
  <si>
    <t>(line 9/11)</t>
  </si>
  <si>
    <t>Note 4</t>
  </si>
  <si>
    <t>Note 1</t>
  </si>
  <si>
    <t>30x</t>
  </si>
  <si>
    <t xml:space="preserve">Note A:  Number of employees managing secondary transmission service contracts divided by number of employees managing transmission and distribution secondary service contracts. </t>
  </si>
  <si>
    <t>GP Allocator</t>
  </si>
  <si>
    <t>Line 7 + Line 8</t>
  </si>
  <si>
    <t>Attachment 4A, Line 28, Col. (e) (Notes B and X)</t>
  </si>
  <si>
    <t>Attachment 4A, Line 28, Col. (f) (Notes B and X)</t>
  </si>
  <si>
    <t>Attachment 4A, Line 28, Col. (g) (Notes B and X)</t>
  </si>
  <si>
    <t xml:space="preserve">Attachment 5B, Line 15, Col. (a) and Line 18, Col. (e)   </t>
  </si>
  <si>
    <t>Attachment 5, Line 2, Col. (e)</t>
  </si>
  <si>
    <t>Sum of lines 4, 6, 8, and 10</t>
  </si>
  <si>
    <t>Sum of lines 13 and 15</t>
  </si>
  <si>
    <t>Project Net Plant is the Project Gross Plant Identified in Column 3 less the associated Accumulated Depreciation.  Net Plant includes CWIP and Unamortized Abandoned Plant and excludes any regulatory asset, which are to be entered as separate line items.</t>
  </si>
  <si>
    <t>1) From Attachment 1, line 17, col. 14 for the projection for the Rate Year.</t>
  </si>
  <si>
    <t>Excludes ARO amounts.</t>
  </si>
  <si>
    <t>(h) (Note K)</t>
  </si>
  <si>
    <t>(d) (Note J)</t>
  </si>
  <si>
    <t>(i) (Note J)</t>
  </si>
  <si>
    <t>(j) (Note J)</t>
  </si>
  <si>
    <t>(k) (Note J)</t>
  </si>
  <si>
    <t>ADIT and Accumulated Deferred Income Tax Credits are computed using the average of the beginning of the year and the end of the year balances. The projection will use lines 16, 19 and 36 of Attachment 4A to populate the average ADIT balance on line 28 above.</t>
  </si>
  <si>
    <t>Line 36, If there are no items subject to proration, use average of lines 23 and 35</t>
  </si>
  <si>
    <t>(h) (Note A)</t>
  </si>
  <si>
    <t>Plant Related ADIT reflects the total Electric plant related ADIT from Attachment 4B and 4C, which is allocated to transmission in Column (i) with GP allocation factor.</t>
  </si>
  <si>
    <t>Total (Line 14 - Line 15 - Line 16)</t>
  </si>
  <si>
    <t>=sum(p:r)</t>
  </si>
  <si>
    <t>=sum(c:e)</t>
  </si>
  <si>
    <t>Sum of transmission related electric and common amortized investment tax credit amounts.  Total electric amount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 related to common plant allocated to transmission using the wages and salaries allocator (Attachment H-7, p. 4, line 11, column (5)), multiplied by common utility plant  percent to electric (per FF1 page 356).</t>
  </si>
  <si>
    <t>(Sum of Line 5 - Line 6 + Line 7 + Line 8)</t>
  </si>
  <si>
    <t>(Sum of Lines 10-12)</t>
  </si>
  <si>
    <t>(Sum Lines 1 to 2)</t>
  </si>
  <si>
    <t>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t>
  </si>
  <si>
    <t>Directly Assigned</t>
  </si>
  <si>
    <t>General Advertising Expenses (Note E)</t>
  </si>
  <si>
    <t>Administrative &amp; General - Total (Sum of lines 1-14)</t>
  </si>
  <si>
    <t>Miscellaneous General Expenses (Note E)</t>
  </si>
  <si>
    <r>
      <t xml:space="preserve">Transmission A&amp;G </t>
    </r>
    <r>
      <rPr>
        <vertAlign val="superscript"/>
        <sz val="9.9"/>
        <rFont val="Times New Roman"/>
        <family val="1"/>
      </rPr>
      <t>1</t>
    </r>
  </si>
  <si>
    <r>
      <t xml:space="preserve">Total </t>
    </r>
    <r>
      <rPr>
        <vertAlign val="superscript"/>
        <sz val="9.9"/>
        <rFont val="Times New Roman"/>
        <family val="1"/>
      </rPr>
      <t>2</t>
    </r>
  </si>
  <si>
    <r>
      <rPr>
        <vertAlign val="superscript"/>
        <sz val="9.9"/>
        <rFont val="Times New Roman"/>
        <family val="1"/>
      </rPr>
      <t>1</t>
    </r>
    <r>
      <rPr>
        <sz val="11"/>
        <rFont val="Times New Roman"/>
        <family val="1"/>
      </rPr>
      <t xml:space="preserve"> Multiply total amounts on line 15, columns (b)-(e) by allocation factors on line 16.</t>
    </r>
  </si>
  <si>
    <r>
      <rPr>
        <vertAlign val="superscript"/>
        <sz val="9.9"/>
        <rFont val="Times New Roman"/>
        <family val="1"/>
      </rPr>
      <t>2</t>
    </r>
    <r>
      <rPr>
        <sz val="11"/>
        <rFont val="Times New Roman"/>
        <family val="1"/>
      </rPr>
      <t xml:space="preserve"> Sum of line 17, columns (b), (c), (d), (e). </t>
    </r>
  </si>
  <si>
    <t>Col. (c) x Electric Labor in Note B</t>
  </si>
  <si>
    <t xml:space="preserve">The Willis Towers Watson report on PBOPs does not breakout the amount related to construction labor that is capitalized. </t>
  </si>
  <si>
    <t>As a result, the portion not capitalized is calculated as labor expensed divided by total labor.</t>
  </si>
  <si>
    <t>Total (Line 2 - Line 3 - Line 4)</t>
  </si>
  <si>
    <t>(Sum Lines 3, 4-12)</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</si>
  <si>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in line 2; provided, that the revenue credit on line 2 will not include revenues associated with transmission service the loads for which are included in the rate divisor in Attachment H-7, page 1, line 11.</t>
  </si>
  <si>
    <t>ATTACHMENT H-7A</t>
  </si>
  <si>
    <t>FORMULA RATE TEMPLATE</t>
  </si>
  <si>
    <t>(Note E)</t>
  </si>
  <si>
    <t xml:space="preserve">Amortized Investment Tax Credit Consistent with (266.8.f &amp; 266.17.f) - Transmission </t>
  </si>
  <si>
    <t>Attachment 4E, Line 11, Col. (x)</t>
  </si>
  <si>
    <t>30g</t>
  </si>
  <si>
    <t>30h</t>
  </si>
  <si>
    <t xml:space="preserve">Calculate using 13 month average balance, except ADIT. SERP will not be included as an unfunded reserve in the formula rate. </t>
  </si>
  <si>
    <t xml:space="preserve">3) "Revenue Received" on line 3 Zonal, Col. (E), is the total amount of revenue received for the True-Up Year under PJM OATT Attachments 7, 8 and H-7 and "Revenue Received" on letter-denominated line 3 entries, Col. (E), is the amount of revenue received for the True-Up </t>
  </si>
  <si>
    <t>Year for the project designated in Cols. A and B under PJM OATT Schedule 12 PECO Appendix and PECO Appendix A as reported on pages 328-330 of the Form No 1. The Revenue Received in Col. E excludes any True-Up revenues</t>
  </si>
  <si>
    <t>Total prepayments, including Fleet Activity,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amounts related to common labor or plant allocated using the wages and salaries allocator (Attachment H-7, p. 4, line 11, column (5)), multiplied by either common labor percent to electric (Attachment 7-PBOP, Note B, Electric Labor) or by common utility plant percent to electric (per  FF1 page 356) as applicable depending upon the nature of the prepayment item.</t>
  </si>
  <si>
    <t>Z</t>
  </si>
  <si>
    <t>A cap on the equity percentage of PECO’s capital structure shall be 55.75%.</t>
  </si>
  <si>
    <t>7 years</t>
  </si>
  <si>
    <t>Non-Protected Property:</t>
  </si>
  <si>
    <t>Non-Protected Property (Note A)</t>
  </si>
  <si>
    <t>Non-Protected, Non-Property - Pension Asset  (Note A)</t>
  </si>
  <si>
    <t>Non-Protected, Non-Property - Non-Pension Asset (Note A)</t>
  </si>
  <si>
    <t>Total Non-Protected, Non-Property (Note A)</t>
  </si>
  <si>
    <t>ARAM</t>
  </si>
  <si>
    <t xml:space="preserve">Non-Protected, Non-Property: </t>
  </si>
  <si>
    <t>5 years</t>
  </si>
  <si>
    <t xml:space="preserve">Protected: </t>
  </si>
  <si>
    <t>All ADIT-190, ADIT-282, and ADIT-283 amounts reflected on Attachment 4C must be based on a timing difference between book expense recognition and expense recognition for tax purposes.</t>
  </si>
  <si>
    <t>Outside Service Employed (Note E)</t>
  </si>
  <si>
    <t>13 Month Average Pension Asset (Note A)</t>
  </si>
  <si>
    <t>A: PECO’s transmission-related Pension Asset balance is capped at $33 million.  Such limit may only be changed pursuant to a section 205 or 206 filing.</t>
  </si>
  <si>
    <t>Average ADIT Balance Related to Transmission Pension Asset</t>
  </si>
  <si>
    <t>Prior Year ADIT Related to Transmission Pension Asset</t>
  </si>
  <si>
    <t>Current Year ADIT Related to Transmission Pension Asset</t>
  </si>
  <si>
    <t>Net Pension Asset</t>
  </si>
  <si>
    <t>100% of ATRR on Net Pension Asset</t>
  </si>
  <si>
    <t>ATRR Discount on Net Pension Asset</t>
  </si>
  <si>
    <t>Pension Asset Discount Worksheet</t>
  </si>
  <si>
    <t>48a</t>
  </si>
  <si>
    <t>Attachment 10</t>
  </si>
  <si>
    <t>Attachment 9</t>
  </si>
  <si>
    <t>(15a)</t>
  </si>
  <si>
    <t>Additional Refund (Note Q)</t>
  </si>
  <si>
    <t>Sum Col. 14, 15 &amp; 15(a) 
(Note G)</t>
  </si>
  <si>
    <t>General</t>
  </si>
  <si>
    <t>Transmission Allocation %</t>
  </si>
  <si>
    <t>Allocated to Transmission</t>
  </si>
  <si>
    <t>Common (To Be Split TDG)</t>
  </si>
  <si>
    <t>Total Protected Property</t>
  </si>
  <si>
    <t>Protected Property</t>
  </si>
  <si>
    <t>The Tax Effect of Permanent Differences captures the differences in the income taxes due under the Federal and State calculations and the income taxes calculated in Attachment H that are not the result of a timing difference. Items that can be included in formula for recovery are AFUDC Equity, Meals &amp; Entertainment (50%), Memberships &amp; Dues Not Deductible, Additional Compensation to Employee Stock, and Life Insurance Premiums. Items that can not be included in formula for recovery are Dividend Received Deductions, Equity in Earnings of Unconsol. Subs, and Other Perms (Rabbi Trust). Commission authorization is required in order to include any other permanent difference as an adjustment to the income tax allowance computation in the Formula Rate Template.</t>
  </si>
  <si>
    <t xml:space="preserve">Tax Effect of Permanent Differences - Transmission </t>
  </si>
  <si>
    <t>Long Term Interest (117, sum of 62.c through 67.c), Excluding LVT Interest (Note G)</t>
  </si>
  <si>
    <t xml:space="preserve">All short-term interest related expense will be removed from the formula rate template. </t>
  </si>
  <si>
    <t>Amortization of Regulatory Asset for Environmental Remediation of Manufactured Gas Plants shall be excluded from the formula rate.</t>
  </si>
  <si>
    <t>Additional refund $850,00 per year for 2018-2021 and $0 for 2022 and beyond.</t>
  </si>
  <si>
    <t>(Attachment H-7 Note G)</t>
  </si>
  <si>
    <t>(Attachment H-7 Note W)</t>
  </si>
  <si>
    <t>Attachment 4E - Cost to Achieve Mergers (Note A)</t>
  </si>
  <si>
    <t xml:space="preserve">A: Merger-related costs incurred during hold harmless period are to be excluded from rate unless approved by FERC order. </t>
  </si>
  <si>
    <t>(Line 11, Col ($) / Line 13, Col ($))</t>
  </si>
  <si>
    <t>(100% - Line 11, Col (%) - Line 12, Col (%))</t>
  </si>
  <si>
    <t>(Line 12, Col ($) / Line 13, Col ($))</t>
  </si>
  <si>
    <t>Center Point 500-230 kV Substation Addition</t>
  </si>
  <si>
    <t>Elroy 500 kV Dynamic Reactive Device</t>
  </si>
  <si>
    <t>Heaton 230 kV Capacitor Bank Addition</t>
  </si>
  <si>
    <t>Environmental Liab - Superfund</t>
  </si>
  <si>
    <t xml:space="preserve">Accrued Severance Plans </t>
  </si>
  <si>
    <t>DEFERRED REVENUE</t>
  </si>
  <si>
    <t>FEDERAL NOL</t>
  </si>
  <si>
    <t xml:space="preserve">PECO is in a net operating loss situation, therefore, losses are carried forward until such losses can be applied to taxable income. </t>
  </si>
  <si>
    <t>PAYROLL TAXES</t>
  </si>
  <si>
    <t>Book records a payroll tax accrual; tax reverses the accrual and deducts the actual amount paid out.  Relates to all functions.</t>
  </si>
  <si>
    <t>PENNSYLVANIA NOL</t>
  </si>
  <si>
    <t>CAP SHOPPING REG ASSET - CURRENT</t>
  </si>
  <si>
    <t>CAP FORGIVENESS REG ASSET - CURRENT</t>
  </si>
  <si>
    <t>ELEC RATE CASE EXP - REG ASSET - CURRENT</t>
  </si>
  <si>
    <t>RATE CHANGE REG ASSET</t>
  </si>
  <si>
    <t>Gross up related to non-property tax rate change/TCJA</t>
  </si>
  <si>
    <t>24e</t>
  </si>
  <si>
    <t>Tower Rentals and Land Leasing - Transmission</t>
  </si>
  <si>
    <t>Tower Rentals and Land Leasing - Distribution</t>
  </si>
  <si>
    <t>Mutual Assistance</t>
  </si>
  <si>
    <t>Transmission Enhancement</t>
  </si>
  <si>
    <t>26e</t>
  </si>
  <si>
    <t>30i</t>
  </si>
  <si>
    <t>30j</t>
  </si>
  <si>
    <t>Transportation Equipment -Medium Trucks</t>
  </si>
  <si>
    <t xml:space="preserve">Note: </t>
  </si>
  <si>
    <t>Transmission Allocation % (L 4 * Electric Factor in FERC Form 1 P356)</t>
  </si>
  <si>
    <t>Attach H-7, p 3, lines 47  and 48a col 5</t>
  </si>
  <si>
    <t>2a</t>
  </si>
  <si>
    <t xml:space="preserve">Additional Annual Refund (from 2018 to 2021) </t>
  </si>
  <si>
    <t>Attachment 1, line 17, col 15a</t>
  </si>
  <si>
    <t>Long Term Debt balance will reflect the 13 month average of the balances, of which the 1st and 13th are found on page 112 lines 18.c &amp; d to 21.c &amp; d in the Form No. 1.</t>
  </si>
  <si>
    <t>Requirement (Note C)</t>
  </si>
  <si>
    <t xml:space="preserve">For Electric General and Common General plant, except FERC account 303, Column (E) is the remaining life of the assets in the account for each vintage (amount of plant added in each year is a vintage) weighted by the gross plant balance of each account or subaccount.  The remaining life for each vintage is equal to the area under the Mortality Curve specified in Columns (C) and (D) using a half year convention for the first year placed in service. The weighted remaining life is calculated once a year at the beginning of the year.  </t>
  </si>
  <si>
    <t>(line 1 minus lines 2 and 2a)</t>
  </si>
  <si>
    <t xml:space="preserve">Enter 1 if NOT in a trust or reserved account, enter zero (0) if included in a trust or reserved account </t>
  </si>
  <si>
    <t xml:space="preserve">                          References to data from FERC Form 1 are indicated as:  #.y.x  (page, line, column)</t>
  </si>
  <si>
    <t>Calculated using 13 month average balance, except ADIT.</t>
  </si>
  <si>
    <t>The data of the annual amortization amount and balance are from PECO's Tax Accounting records.</t>
  </si>
  <si>
    <t>The amortization schedule of the EDIT balance related to Tax Cuts and Job Act of 2017 shall be consistent with the following periods:</t>
  </si>
  <si>
    <t>EDIT Amortization Amount (Note C)</t>
  </si>
  <si>
    <t>EDIT Balance (Notes C and D)</t>
  </si>
  <si>
    <t>Prior and Current December Average</t>
  </si>
  <si>
    <t>The FERC Quarterly Interest Rate in column [A] is the interest applicable to the Month indicated.</t>
  </si>
  <si>
    <t>2) From Attachment 1, line 17, col. 14, less col. 15(a) for each project and Attachment H-7, line 7 for zonal.</t>
  </si>
  <si>
    <t>Attachment 11</t>
  </si>
  <si>
    <t>Cost of Capital</t>
  </si>
  <si>
    <t>Long Term Interest (117, lines 62 through 67), Excluding LVT Interest</t>
  </si>
  <si>
    <t>Interest on Long-Term Debt (427)</t>
  </si>
  <si>
    <t xml:space="preserve">Amort. of Debt Disc. and Expense (428) </t>
  </si>
  <si>
    <t>(Less) Amort. of Premium on Debt-Credit (429)</t>
  </si>
  <si>
    <t>Interest on Debt to Assoc. Companies (430)</t>
  </si>
  <si>
    <t>(Less) Short-term Interest (5-P3 Support Note G)</t>
  </si>
  <si>
    <t>Total Long Term Interest (Line 1 + Line 2 + Line 3 - Line 4 - Line 5 + Line 6 - Line 7)</t>
  </si>
  <si>
    <t xml:space="preserve">13-Month Average Balance of Long-term Debt, </t>
  </si>
  <si>
    <t>Long -term Debt (112, Lines 18 through 21)</t>
  </si>
  <si>
    <t>13-Month Average</t>
  </si>
  <si>
    <t>Bonds (221)</t>
  </si>
  <si>
    <t>Advances from Associated Companies (223)</t>
  </si>
  <si>
    <t>Other Long-Term Debt (224)</t>
  </si>
  <si>
    <t>Total (Line 9 - Line 10 + Line 11 + Line 12)</t>
  </si>
  <si>
    <t>Proprietary Capital (112, line 2 through 15)</t>
  </si>
  <si>
    <t>Common stock issued (201)</t>
  </si>
  <si>
    <t>Preferred Stock (204) (112.3.c) (5-P3 Support Note B)</t>
  </si>
  <si>
    <t>Capital Stock Subscribed (202, 205)</t>
  </si>
  <si>
    <t>Stock Liability for Conversion (203, 206)</t>
  </si>
  <si>
    <t>Premium on Capital Stock (207)</t>
  </si>
  <si>
    <t>Other Paid-in Capital (208-211)</t>
  </si>
  <si>
    <t>Installments Received on Capital Stock (212)</t>
  </si>
  <si>
    <t>(Less) Discount on Capital Stock (213)</t>
  </si>
  <si>
    <t>(Less) Capital Stock Expense (214)</t>
  </si>
  <si>
    <t>Retained Earning s(215, 215.1, 216)</t>
  </si>
  <si>
    <t>Unappropriated Undistributed Subsidiary Earnings (216.1)</t>
  </si>
  <si>
    <t>Noncorporate Proprietorship (Non-major only) (218)</t>
  </si>
  <si>
    <t>Accumulated other Comprehensive Income (219)</t>
  </si>
  <si>
    <t>Total Proprietary Capital (Line 14+ Line 15 + Line 16 + Line 17 + Line 18 + Line 19 + Line 20 - Line 21 - Line 22 + Line 23 + Line 24 - Line 25 + Line 26 + Line 27)</t>
  </si>
  <si>
    <t>Preferred Stock   (line 15)</t>
  </si>
  <si>
    <t>Common Stock   (line 28 -  line 29)</t>
  </si>
  <si>
    <t>Proprietary Capital</t>
  </si>
  <si>
    <t>Less Preferred Stock</t>
  </si>
  <si>
    <t>Less Account 216.1 (enter negative) (Note D)</t>
  </si>
  <si>
    <t>Less Account 219.1 (enter negative)</t>
  </si>
  <si>
    <t>Preferred Stock (Note B)</t>
  </si>
  <si>
    <t>Common Stock (Note C)</t>
  </si>
  <si>
    <t>Long Term Debt (Note A)</t>
  </si>
  <si>
    <t xml:space="preserve">     Less Account 566 (Misc Trans Expense) (enter negative)</t>
  </si>
  <si>
    <t xml:space="preserve">     Less Account 565 (enter negative)</t>
  </si>
  <si>
    <t xml:space="preserve">     Less Accounts 561.4 and 561.8  (enter negative)</t>
  </si>
  <si>
    <t xml:space="preserve">   Less  O&amp;M Cost to Achieve Included in O&amp;M Above  (enter negative)</t>
  </si>
  <si>
    <t>(Sum of Lines 1 to 5, 9, 10  and 11)</t>
  </si>
  <si>
    <t xml:space="preserve">Excess Deferred Income Tax Amortization - Transmission </t>
  </si>
  <si>
    <t>Amortized Investment Tax Credit (enter negative)</t>
  </si>
  <si>
    <t>Attachment 5, Line 2, Col. (i)</t>
  </si>
  <si>
    <t>Excess Deferred Income Taxes  (enter negative)</t>
  </si>
  <si>
    <t>Attachment 5, Line 2, Col. (j)</t>
  </si>
  <si>
    <t>Net Pension Asset ATRR Discount (enter negative)</t>
  </si>
  <si>
    <t>Attachment 10, Line 9</t>
  </si>
  <si>
    <t>REVENUE REQUIREMENT</t>
  </si>
  <si>
    <t>Transmission-Related Pension Asset booked to Account 186</t>
  </si>
  <si>
    <t>Cash Working Capital assigned to transmission is one-eighth of O&amp;M allocated to transmission at page 3, line 12, column 5 minus amortization of Regulatory Asset at page 3, line 7, column 5. For Prepayments, refer to Note K in Attachment 4.</t>
  </si>
  <si>
    <t>Market Research</t>
  </si>
  <si>
    <t xml:space="preserve">Facilities </t>
  </si>
  <si>
    <t>Land Leasing</t>
  </si>
  <si>
    <t>Fleet Activity</t>
  </si>
  <si>
    <t>Membership dues</t>
  </si>
  <si>
    <t>Postage</t>
  </si>
  <si>
    <t>Prepaid property tax</t>
  </si>
  <si>
    <t>PUC Assessment</t>
  </si>
  <si>
    <t>Retention Incentive</t>
  </si>
  <si>
    <t>VEBA</t>
  </si>
  <si>
    <t>Prior Year End Total</t>
  </si>
  <si>
    <t>Prior Year Allocated to T</t>
  </si>
  <si>
    <t>Current Year Allocated to T</t>
  </si>
  <si>
    <t>k1</t>
  </si>
  <si>
    <t>k2</t>
  </si>
  <si>
    <t>k3</t>
  </si>
  <si>
    <t>k4</t>
  </si>
  <si>
    <t>k5</t>
  </si>
  <si>
    <t>k6</t>
  </si>
  <si>
    <t>k7</t>
  </si>
  <si>
    <t>k8</t>
  </si>
  <si>
    <t>k9</t>
  </si>
  <si>
    <t>k10</t>
  </si>
  <si>
    <t>k11</t>
  </si>
  <si>
    <t>k12</t>
  </si>
  <si>
    <t>k13</t>
  </si>
  <si>
    <t>k14</t>
  </si>
  <si>
    <t>k15</t>
  </si>
  <si>
    <t>k16</t>
  </si>
  <si>
    <t>k17</t>
  </si>
  <si>
    <t>k18</t>
  </si>
  <si>
    <t>k19</t>
  </si>
  <si>
    <t>k20</t>
  </si>
  <si>
    <t>k21</t>
  </si>
  <si>
    <t>Kxxx</t>
  </si>
  <si>
    <t>Total Sum(lines K1 to Kxxx)</t>
  </si>
  <si>
    <t>(Attachment 9 line 24 "Average")</t>
  </si>
  <si>
    <t>(Attachment 4, line 28(i))</t>
  </si>
  <si>
    <t>(Attachment 4B "PENSION EXPENSE PROVISION" times S&amp;W Allocator)</t>
  </si>
  <si>
    <t>(Attachment 4C "PENSION EXPENSE PROVISION" times S&amp;W Allocator)</t>
  </si>
  <si>
    <t>(Average of Lines 2 and 3)</t>
  </si>
  <si>
    <t>Net ADIT Balance</t>
  </si>
  <si>
    <t>Net Unamortized EDIT Balance</t>
  </si>
  <si>
    <t>(Line 1 plus Line 4 plus Line 5)</t>
  </si>
  <si>
    <t>(Line 6 times Attachment H-7 page 3, line 34, col (3) times (1+Attachment H-7 page 4, line 18, col (5))</t>
  </si>
  <si>
    <t>(Line 7 times Line 8)</t>
  </si>
  <si>
    <t>Attachment H-7, Pages 3 and 4, Worksheet</t>
  </si>
  <si>
    <t>Attachment H-7, Page 3, Line No.:</t>
  </si>
  <si>
    <t>Attachment H-7, Page 3, Line Number</t>
  </si>
  <si>
    <t>Gas Labor sum (355.62.b)</t>
  </si>
  <si>
    <t>Transmission Allocation % (Att H-7 P4, L11, Col 5)</t>
  </si>
  <si>
    <t>ROE will be supported in the original filing and no change in ROE may be made absent a Section 205 or Section 206 filing with FERC. The equity component of the capital structure will be capped at 55.75% and shall not be subject to change during the ROE Moratorium Period established under the Settlement Agreement in Docket No. ER17-1519.  Thereafter, the cap shall be subject to change pursuant to sections 205 and 206 of the Federal Power Act.</t>
  </si>
  <si>
    <t xml:space="preserve">Recovery of Regulatory Asset is permitted only as specifically authorized pursuant to Section 205 or 206 of the FPA by FERC.  Recovery of any regulatory assets not specifically identified in the initial version of this formula rate template approved by FERC in Docket No. ER17-1519-000 will require specific authorization from FERC. </t>
  </si>
  <si>
    <t>Company shall include only gains and losses on interest rate locks associated with debt issuances.  Absent a Section 205 filing, Company shall not include in the Formula Rate, the gains, losses, or costs related to other hedges.</t>
  </si>
  <si>
    <t>ROE will be supported in the original filing and no change in ROE may be made absent FERC authorization pursuant to a section 205 or section 206.</t>
  </si>
  <si>
    <t>True-Up Adjustment is calculated on the Attachment 3 Project True-up Schedule for the Rate Year</t>
  </si>
  <si>
    <t>The Net Rev Req is the value to be used in the rate calculation under the applicable Schedule 12 under the PJM OATT for each project.</t>
  </si>
  <si>
    <t>Page 3, Line 5:  Attachment 5B, Line 4 - Exclude: (1) amortization of CAP Shopping and Seamless Moves; (2) amortization of DSP IV Admin Costs; (3) Miscellaneous Advertising; (4) SEPA Solar Power Study; (5) PSU Sponsorship; (6) EU IT Prepaid Meter Assess O&amp;M; and (7) Customer Operations AMI/CI O&amp;M. Include Communications, Public Advocacy and Corporate Relations and Government and Regulatory Affairs and Public Policy expenses listed in Account 923 found at Form 1 323.184.b.
Attachment 5B, Lines, 11, and 12 - Exclude EPRI Annual Membership Dues listed in Form 1 at 353.f, non-safety-related advertising included in Account 930.1 found at 323.191.b and Chamber of Commerce Dues and Civic Organization Expenses in Account 930.2 found at 323.192.b; include the costs related to Project Cancellation Fees and Remediation Expenditures (provided, that with regard to the Metal Bank Superfund, PECO must include as a credit any receipts received from the EPA and/or obtained through litigation with the remediation contractors related to Metal Bank Superfund).
Attachment 5B, Line 9- include Regulatory Commission Expenses directly related to transmission service, ISO filings, or transmission siting itemized at 351.h., and exclude all other  Regulatory Commission Expenses itemized at 351.h.</t>
  </si>
  <si>
    <t>EDIT balance was reclassified from ADIT to EDIT in December 2017.</t>
  </si>
  <si>
    <t>Times Pension Discount %</t>
  </si>
  <si>
    <t>Accrual of future removal/retirements.  Book recognized the expense estimate accrual, tax recognizes when paid. Related to all functions. ARO must be approved by FERC in order to include amounts.</t>
  </si>
  <si>
    <t>Book accrues and capitalizes anticipated Pension costs based on actuarial analysis.  Tax deducts or capitalizes retirement benefits only when the amounts are paid.  Retail related.</t>
  </si>
  <si>
    <t>The Non-Protected Property EDIT balance shall be fully amortized by the end of 2024 and the Non-Protected, non-Property EDIT balance shall be fully amortized by the end of 2022.</t>
  </si>
  <si>
    <t>Unamortized Abandoned Plant and Amortization of Abandoned Plant will be zero until FERC explicitly approves recovery of the cost of abandoned plant pursuant to Section 205 of the FPA.</t>
  </si>
  <si>
    <t xml:space="preserve">Only Transmission </t>
  </si>
  <si>
    <t>Gas, Prod, Retail</t>
  </si>
  <si>
    <t>Or Other Related</t>
  </si>
  <si>
    <t>Prior Period Adjustment is the amount of an adjustment to correct an error in a prior period.  Interest will be calculated for the prior period adjustment based on the FERC Refund interest rate specified in 18 CFR 35.19(a) for the period up to the date the projected rates went into effect. PECO will provide the supporting worksheet for the interest calculation when prior period adjustment is needed.</t>
  </si>
  <si>
    <t>31a</t>
  </si>
  <si>
    <t>31b</t>
  </si>
  <si>
    <t>31c</t>
  </si>
  <si>
    <t xml:space="preserve">  Unamortized EDIT Balance - Protected Property (enter negative)</t>
  </si>
  <si>
    <t>Attachment 9 - EDIT, Line 22, Col. (n)</t>
  </si>
  <si>
    <t xml:space="preserve">  Unamortized EDIT Balance - Non-Protected Property (enter negative)</t>
  </si>
  <si>
    <t xml:space="preserve">  Unamortized EDIT Balance - Non-Protected, Non-Property (enter negative)</t>
  </si>
  <si>
    <t>Attachment 9 - EDIT, Line 23, Col. (n)</t>
  </si>
  <si>
    <t>Attachment 9 - EDIT, Line 26, Col. (n)</t>
  </si>
  <si>
    <t>Current Year End Total</t>
  </si>
  <si>
    <t>Attachment 5C - Taxes Other Than Income</t>
  </si>
  <si>
    <t>Page 263</t>
  </si>
  <si>
    <t>Col (i)</t>
  </si>
  <si>
    <t>Property Tax Payable</t>
  </si>
  <si>
    <t>Federal Unemployment</t>
  </si>
  <si>
    <t>Social Security</t>
  </si>
  <si>
    <t>PA Unemployment</t>
  </si>
  <si>
    <t>State Use Taxes</t>
  </si>
  <si>
    <t>Miscellaneous Taxes</t>
  </si>
  <si>
    <t>Sales Tax Payable</t>
  </si>
  <si>
    <t>Criteria for Allocation:</t>
  </si>
  <si>
    <t xml:space="preserve">Other taxes that are incurred through ownership of plant including transmission plant will be allocated based on the Gross Plant </t>
  </si>
  <si>
    <t>Allocator.  If the taxes are 100% recovered at retail they shall not be included.</t>
  </si>
  <si>
    <t>Other taxes that are incurred through ownership of only general or intangible plant will be allocated based on the Wages and Salary</t>
  </si>
  <si>
    <t>Other taxes that are assessed based on labor will be allocated based on the Wages and Salary Allocator.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</si>
  <si>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</si>
  <si>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</si>
  <si>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</si>
  <si>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Excludes prior period adjustments in the first year of the formula's operation and reconciliation for the first year.</t>
  </si>
  <si>
    <t>Total Plant Related (Total Lines 1)</t>
  </si>
  <si>
    <t>Total Labor Related (Total Lines 2)</t>
  </si>
  <si>
    <t>2b</t>
  </si>
  <si>
    <t>2c</t>
  </si>
  <si>
    <t>Total Other Included (Total Lines 3)</t>
  </si>
  <si>
    <t>Total Included  (Lines 1 to 3)</t>
  </si>
  <si>
    <t>Taxes Other Than Income</t>
  </si>
  <si>
    <t>5a</t>
  </si>
  <si>
    <t>5b</t>
  </si>
  <si>
    <t>5c</t>
  </si>
  <si>
    <t>Total Taxes Other Than Income, Included and Excluded (Lines 4 and 5)</t>
  </si>
  <si>
    <t>Difference  (Line 6 - Line 7)</t>
  </si>
  <si>
    <t>Total Taxes Other Income from p115.14.g</t>
  </si>
  <si>
    <t>Plant Related, Subject to Gross Plant Allocator</t>
  </si>
  <si>
    <t>Other Included, Subject to Gross Plant Allocator</t>
  </si>
  <si>
    <t>Labor Related, Subject to Wages &amp; Salary Allocator</t>
  </si>
  <si>
    <t>9a</t>
  </si>
  <si>
    <t>9b</t>
  </si>
  <si>
    <t>Attachment 5C Line 2</t>
  </si>
  <si>
    <t>Attachment 5C Line 1</t>
  </si>
  <si>
    <t>Labor Related Taxes</t>
  </si>
  <si>
    <t>Plant Related Taxes</t>
  </si>
  <si>
    <t>Attachment 5C Line 5</t>
  </si>
  <si>
    <t>Other Included Taxes</t>
  </si>
  <si>
    <t>Attachment 5C Line 3</t>
  </si>
  <si>
    <t>Labor Related Taxes to be Excluded</t>
  </si>
  <si>
    <t>Plant Related Taxes to be Excluded</t>
  </si>
  <si>
    <t xml:space="preserve">         Plant Related Taxes to be Excluded</t>
  </si>
  <si>
    <t xml:space="preserve">(c) </t>
  </si>
  <si>
    <t>(d) (Note F)</t>
  </si>
  <si>
    <t>(h) (Note F)</t>
  </si>
  <si>
    <t>Labor and Plant related taxes due to merger are to be excluded consistent with hold harmless commitment.</t>
  </si>
  <si>
    <t>ADIT-190 (Attachment H-7 Notes P and Q)</t>
  </si>
  <si>
    <t>ADIT- 282 (Attachment H-7 Notes N and Q)</t>
  </si>
  <si>
    <t>ADIT-283 (Attachment H-7 Notes O, P and Q)</t>
  </si>
  <si>
    <t>Excess / (Deficient) Deferred Income Taxes (Note B and Attachment H-7 Notes N, O and P)</t>
  </si>
  <si>
    <t>Allocation To Transmission</t>
  </si>
  <si>
    <t>Allocation from Total To Electric (Note K)</t>
  </si>
  <si>
    <t>Allocation from Electric to Transmission (Note K)</t>
  </si>
  <si>
    <t>Total Excluded Taxes Other Than Income (Total Lines 5)</t>
  </si>
  <si>
    <t>10a</t>
  </si>
  <si>
    <t>10b</t>
  </si>
  <si>
    <t>Total Labor Related Taxes to be Excluded (Total Lines 9)</t>
  </si>
  <si>
    <t>Total Plant Related Taxes to be Excluded (Total Lines 10)</t>
  </si>
  <si>
    <t>Attachment 5C Line 9</t>
  </si>
  <si>
    <t>Attachment 5C Line 10</t>
  </si>
  <si>
    <t>Items Included in Line 4, that Are To Be Excluded from Formula Per Attachment 5-P3 Support Note F (Enter Negative)</t>
  </si>
  <si>
    <t>Taxes Other Than Income Excluded Per Notes A to E</t>
  </si>
  <si>
    <t xml:space="preserve">         Excluded Taxes Per Attchment 5C Line 5</t>
  </si>
  <si>
    <t>Transmission-related ADIT, Excess/(Deficient) ADIT, and the amortization of Excess/(Deficient) ADIT shall be included in the formula rate except as noted in Notes N and P.  For clarity of administration of the formula rate, this specifically includes (but is not limited to) transmission-related amounts related to Amortization of Book Premiums on Reacquired Debt, Pension Expense Provision, Loss on Reacquired Debt, FAS 112 and Electric Rate Case Expense – Regulatory Asset – Current.</t>
  </si>
  <si>
    <t xml:space="preserve">ADIT, Excess/(Deficient) ADIT and the amortizaiton of Excess/(Deficient) ADIT related to Accrued Benefits, Deferred Compensation, Vacation pay Change in Provision and Accrued Vacation shall be excluded from the formula rate. </t>
  </si>
  <si>
    <t>All items related to Contributions in Aid of Construction (CIAC), including investment in CIAC and CIAC related ADIT, excess/(deficient) ADIT and amortization of excess/(deficient) ADIT shall be excluded from the formula rate.</t>
  </si>
  <si>
    <t>Plant (Year End Balance)</t>
  </si>
  <si>
    <t>(J)=(F)*(G)</t>
  </si>
  <si>
    <t>Software - 2-year Life (Note 10)</t>
  </si>
  <si>
    <t>Software - 3-year Life (Note 10)</t>
  </si>
  <si>
    <t>Software - 4-year Life (Note 10)</t>
  </si>
  <si>
    <t>Software - 5-year Life (Note 10)</t>
  </si>
  <si>
    <t>Software - 7-year Life (Note 10)</t>
  </si>
  <si>
    <t>Software - 10-year Life (Note 10)</t>
  </si>
  <si>
    <t>Software - 13-year Life (Note 10)</t>
  </si>
  <si>
    <t>Software - 15-year Life (Note 10)</t>
  </si>
  <si>
    <t>Software - Transmission 2-year Life (Note 10)</t>
  </si>
  <si>
    <t>Software - Transmission 3-year Life (Note 10)</t>
  </si>
  <si>
    <t>Software - Transmission 4-year Life (Note 10)</t>
  </si>
  <si>
    <t>Software - Transmission 5-year Life (Note 10)</t>
  </si>
  <si>
    <t>Software - Transmission 7-year Life (Note 10)</t>
  </si>
  <si>
    <t>Software - Transmission 10-year Life (Note 10)</t>
  </si>
  <si>
    <t>Software - Transmission 13-year Life (Note 10)</t>
  </si>
  <si>
    <t>Software - Transmission 15-year Life (Note 10)</t>
  </si>
  <si>
    <t>Software - Electric General 2-year Life (Note 10)</t>
  </si>
  <si>
    <t>Software - Electric General 3-year Life (Note 10)</t>
  </si>
  <si>
    <t>Software - Electric General 4-year Life (Note 10)</t>
  </si>
  <si>
    <t>Software - Electric General 5-year Life (Note 10)</t>
  </si>
  <si>
    <t>Software - Electric General 7-year Life (Note 10)</t>
  </si>
  <si>
    <t>Software - Electric General 10-year Life (Note 10)</t>
  </si>
  <si>
    <t>Software - Electric General 13-year Life (Note 10)</t>
  </si>
  <si>
    <t>Software - Electric General 15-year Life (Note 10)</t>
  </si>
  <si>
    <t>Common - Electric</t>
  </si>
  <si>
    <t>Attachment 8, Page 1, Line 11, Col J</t>
  </si>
  <si>
    <t>Attachment 8, Page 1, Line 25, Col J</t>
  </si>
  <si>
    <t>Attachment 8, Page 2, Line 10, Col J</t>
  </si>
  <si>
    <t>Depreciation Expense - Transmission Intangible</t>
  </si>
  <si>
    <t>Depreciation Expense - General Intangible</t>
  </si>
  <si>
    <t xml:space="preserve">  Intangible - Transmission</t>
  </si>
  <si>
    <t xml:space="preserve">  Intangible - General</t>
  </si>
  <si>
    <t>Attachment 5, Line 1, Col. (i)</t>
  </si>
  <si>
    <t>Attachment 5, Line 1, Col. (j)</t>
  </si>
  <si>
    <t>Common General - Electric</t>
  </si>
  <si>
    <t>Software - Electric Distribution</t>
  </si>
  <si>
    <t xml:space="preserve">The depreciation expenses related to Common General - Electric reflect electric common plant. The depreciation expenses associated with Transportation Equipment, Garage Equipment and Power Operated Tools are excluded from Account 403 and directly assigned to the functional O&amp;M and capital accounts based on use.  </t>
  </si>
  <si>
    <t>Difference</t>
  </si>
  <si>
    <t>Current Year</t>
  </si>
  <si>
    <t>Per Formula</t>
  </si>
  <si>
    <t>Allocation %</t>
  </si>
  <si>
    <t>To Transmission</t>
  </si>
  <si>
    <t>Intangible - Transmission</t>
  </si>
  <si>
    <t>Intangible - General</t>
  </si>
  <si>
    <t>Intangible - Distribution</t>
  </si>
  <si>
    <t>Page 1 of 4</t>
  </si>
  <si>
    <t>Page 2 of 4</t>
  </si>
  <si>
    <t>Page 3 of 4</t>
  </si>
  <si>
    <t>Page 4 of 4</t>
  </si>
  <si>
    <t>Difference Allocated</t>
  </si>
  <si>
    <t>Prior Year</t>
  </si>
  <si>
    <t>Total Cumulative</t>
  </si>
  <si>
    <t>Total Company</t>
  </si>
  <si>
    <t>(D)=(B)-(C)</t>
  </si>
  <si>
    <t>(F)=(D)*(E)</t>
  </si>
  <si>
    <t>(I)=(D)+(G)</t>
  </si>
  <si>
    <t>(J)=(F)+(H)</t>
  </si>
  <si>
    <t>Accumulative Depreciation</t>
  </si>
  <si>
    <t>Average Accumulative</t>
  </si>
  <si>
    <t>Total Intangible</t>
  </si>
  <si>
    <t xml:space="preserve">Total Cumulative </t>
  </si>
  <si>
    <t>Adjustment</t>
  </si>
  <si>
    <t>Adjusted Average</t>
  </si>
  <si>
    <t>Attachment 8, Page 3, Line 10, Col. (E)</t>
  </si>
  <si>
    <t>Attachment 8, Page 3, Line 11, Col. (E)</t>
  </si>
  <si>
    <t>Attachment 8, Page 3, Line 16, Col. (E) and Col. (G)</t>
  </si>
  <si>
    <t>Attachment 8, Page 3, Line 12, Col. (E)</t>
  </si>
  <si>
    <t>Depreciation Expense - Distribution</t>
  </si>
  <si>
    <t>Attachment 8, Page 2, Line 22, Col J</t>
  </si>
  <si>
    <t>Attachment 8, Page 2, Line 19, Col J</t>
  </si>
  <si>
    <t xml:space="preserve">  Intangible - Distribution</t>
  </si>
  <si>
    <t>Attachment 5, Line 1, Col. (k)</t>
  </si>
  <si>
    <t>The Actual Revenue Requirement in the True-up Adjustment calculation for years 2020 and later shall use the depreciation and amortization rates approved for use by the Commission when PECO performs the True-Up Adjustment.</t>
  </si>
  <si>
    <t>Attachment 8 - Depreciation and Amortization</t>
  </si>
  <si>
    <t>IT Business Intelligence Data Analysis - Distribution</t>
  </si>
  <si>
    <t>IT Other - Transmission</t>
  </si>
  <si>
    <t xml:space="preserve">EDIT data, including EDIT amortization amount and balance, for Protected, Non-Protected Property and Non-Protected, Non-Property shall reflect the Transmission portion of EDIT amounts.   The amounts and categorization of these balances as of December 31, 2017 is:  Protected Property - Transmission (Line 15): $79,726,712;  Protected Property - Electric General to be allocated between Distribution and Transmission (Line 16):  $1,683,749; Protected Property – Common to be allocated between Distribution, Transmission and Gas (Line 19):  $11,901,494; Non-Protected Property (Line 23):  $16,962,821; Non-Protected Non-Property (Line 26):  ($260,021). </t>
  </si>
  <si>
    <t>For FERC accounts 303, 352 through 359 and 390 through 398, Column F is fixed and cannot be changed absent Commission approval or acceptance.</t>
  </si>
  <si>
    <t>(Attachment H-7 Notes T and Z)</t>
  </si>
  <si>
    <t>227. 8. c + (227.16.c * Labor Ratio) + TLF for end of year, records for other months (Note L)</t>
  </si>
  <si>
    <t>L</t>
  </si>
  <si>
    <t xml:space="preserve">Depreciation / </t>
  </si>
  <si>
    <t>Amortization Rate</t>
  </si>
  <si>
    <t>Depr./Amor. Exp</t>
  </si>
  <si>
    <t>Depr./Amor. Exp Per FF1</t>
  </si>
  <si>
    <t>Depr./Amor. Per Book</t>
  </si>
  <si>
    <t>Accumulative  Depr./Amor.</t>
  </si>
  <si>
    <t>Columns (A), (B), (C), and (D) are fixed and cannot be changed absent Commission approval or acceptance. The depreciation / amortization expense is calculated separately for each row.</t>
  </si>
  <si>
    <t>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t>
  </si>
  <si>
    <t>The life of each software or other intangible plant will be estimated at the time the plant is placed into service, and will not change over the life of the plant absent Commission approval or acceptance. The combined amortization expense for all intangible plant shall be the sum of each individual plant balance amortized over the life of each individual plant established in this manner.</t>
  </si>
  <si>
    <t>Attachment 8, Page 2, Line 51, Col J</t>
  </si>
  <si>
    <t>Excluded Taxes Per Attachment 5C Line 5</t>
  </si>
  <si>
    <t>/ Atta 4D for Intangible</t>
  </si>
  <si>
    <t>Amortization of Loss on Reacquired Debt (428.1)</t>
  </si>
  <si>
    <t>(Less) Amortization of Gain on Reacquired Debt-Credit (429.1)</t>
  </si>
  <si>
    <t>(Less) Reacquired Bonds (222)</t>
  </si>
  <si>
    <t>(Less) Reacquired Capital Stock (217)</t>
  </si>
  <si>
    <t>Intercompany Billings - Transmission</t>
  </si>
  <si>
    <t>Intercompany Billings - Labor Related</t>
  </si>
  <si>
    <t>Intercompany Billings - Other</t>
  </si>
  <si>
    <t>30l</t>
  </si>
  <si>
    <t>30m</t>
  </si>
  <si>
    <t>30k</t>
  </si>
  <si>
    <t>Equipment Maintenance</t>
  </si>
  <si>
    <t>PA Gross Receipts Tax - 2018</t>
  </si>
  <si>
    <t>ARO- Reg Asset</t>
  </si>
  <si>
    <t>Prepaid gross receipts tax</t>
  </si>
  <si>
    <t>Marketing</t>
  </si>
  <si>
    <t>New Business</t>
  </si>
  <si>
    <t>21d</t>
  </si>
  <si>
    <t>21e</t>
  </si>
  <si>
    <t>21f</t>
  </si>
  <si>
    <t>21g</t>
  </si>
  <si>
    <t>21h</t>
  </si>
  <si>
    <t>21i</t>
  </si>
  <si>
    <t>21o</t>
  </si>
  <si>
    <t>21j</t>
  </si>
  <si>
    <t>21k</t>
  </si>
  <si>
    <t>21l</t>
  </si>
  <si>
    <t>21m</t>
  </si>
  <si>
    <t>21n</t>
  </si>
  <si>
    <t>21p</t>
  </si>
  <si>
    <t>21q</t>
  </si>
  <si>
    <t>21r</t>
  </si>
  <si>
    <t>21s</t>
  </si>
  <si>
    <t>21t</t>
  </si>
  <si>
    <t>21u</t>
  </si>
  <si>
    <t>21v</t>
  </si>
  <si>
    <t>21w</t>
  </si>
  <si>
    <t>21x</t>
  </si>
  <si>
    <t>As of 12/31/2019</t>
  </si>
  <si>
    <t>FY 2019</t>
  </si>
  <si>
    <t>True-Up for the 12 months ended 12/31/2019</t>
  </si>
  <si>
    <t>IT License &amp; Maintenance Agreements</t>
  </si>
  <si>
    <t>Prepaid Rent</t>
  </si>
  <si>
    <t>Land Acquisitions</t>
  </si>
  <si>
    <t>Leases</t>
  </si>
  <si>
    <t>Building Acquisition</t>
  </si>
  <si>
    <t>k22</t>
  </si>
  <si>
    <t>k23</t>
  </si>
  <si>
    <t>k24</t>
  </si>
  <si>
    <t>k25</t>
  </si>
  <si>
    <t>AIP</t>
  </si>
  <si>
    <t>401K Match</t>
  </si>
  <si>
    <t>Long-term incentive Plans</t>
  </si>
  <si>
    <t>Mgmt. Retiention Incentive Plan</t>
  </si>
  <si>
    <t>Stock Comp</t>
  </si>
  <si>
    <t>Severance - Long Term</t>
  </si>
  <si>
    <t>PA Gross Receipts Tax - 2019</t>
  </si>
  <si>
    <t>PA Real Estate Tax - 2019</t>
  </si>
  <si>
    <t>IT Business Intelligence Data Analysis - Transmission</t>
  </si>
  <si>
    <t>FERC 494 SETTLEMENT DECEMBER 2019</t>
  </si>
  <si>
    <t>TSC UNDER RECOVERY</t>
  </si>
  <si>
    <t>CLOUD COMPUTING</t>
  </si>
  <si>
    <t>Peach Bottom 500-230 kV Transformer Rating Increase</t>
  </si>
  <si>
    <t>b2694</t>
  </si>
  <si>
    <t>3t</t>
  </si>
  <si>
    <t>b1398.8</t>
  </si>
  <si>
    <t>17t</t>
  </si>
  <si>
    <t>21y</t>
  </si>
  <si>
    <t>21z</t>
  </si>
  <si>
    <t>3n</t>
  </si>
  <si>
    <t>17n</t>
  </si>
  <si>
    <t>IT CIMS - Distribution Only Portion</t>
  </si>
  <si>
    <t>For  the 12 months ended 12/31/2020</t>
  </si>
  <si>
    <t>Projection for the 12 months ended 12/31/2020</t>
  </si>
  <si>
    <t>214.16,d, 214.17,d, 214.18,d, 214.20,d, 214.23,d, and 214.25,d for end of year, records for other months</t>
  </si>
  <si>
    <t>24f</t>
  </si>
  <si>
    <t>Intercompany Rent - Transmission</t>
  </si>
  <si>
    <t>17aa</t>
  </si>
  <si>
    <t>Peach Bottom 500 kV Substation Upgrades</t>
  </si>
  <si>
    <t>b2766.2</t>
  </si>
  <si>
    <t>3z</t>
  </si>
  <si>
    <t>b0264</t>
  </si>
  <si>
    <t>Constellation Merger</t>
  </si>
  <si>
    <t>PHI Merger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</si>
</sst>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0"/>
    <numFmt numFmtId="169" formatCode="&quot;$&quot;#,##0"/>
    <numFmt numFmtId="170" formatCode="0.0%"/>
    <numFmt numFmtId="171" formatCode="&quot;$&quot;#,##0.000"/>
    <numFmt numFmtId="172" formatCode="&quot;$&quot;#,##0.00"/>
    <numFmt numFmtId="173" formatCode="_(* #,##0_);_(* \(#,##0\);_(* &quot;-&quot;??_);_(@_)"/>
    <numFmt numFmtId="174" formatCode="_(&quot;$&quot;* #,##0_);_(&quot;$&quot;* \(#,##0\);_(&quot;$&quot;* &quot;-&quot;??_);_(@_)"/>
    <numFmt numFmtId="175" formatCode="0_);\(0\)"/>
    <numFmt numFmtId="176" formatCode="&quot;$&quot;#,##0.0"/>
    <numFmt numFmtId="177" formatCode="_(* #,##0.0_);_(* \(#,##0.0\);_(* &quot;-&quot;??_);_(@_)"/>
    <numFmt numFmtId="178" formatCode="#,##0.0_);\(#,##0.0\)"/>
    <numFmt numFmtId="179" formatCode="&quot;$&quot;#,##0.000_);\(&quot;$&quot;#,##0.000\)"/>
    <numFmt numFmtId="180" formatCode="&quot;$&quot;#,##0.0_);\(&quot;$&quot;#,##0.0\)"/>
    <numFmt numFmtId="181" formatCode="#,##0.000_);\(#,##0.000\)"/>
    <numFmt numFmtId="182" formatCode="_(* #,##0.0000_);_(* \(#,##0.0000\);_(* &quot;-&quot;??_);_(@_)"/>
    <numFmt numFmtId="183" formatCode="_(* #,##0.0\¢_m;[Red]_(* \-#,##0.0\¢_m;[Green]_(* 0.0\¢_m;_(@_)_%"/>
    <numFmt numFmtId="184" formatCode="_(* #,##0.00\¢_m;[Red]_(* \-#,##0.00\¢_m;[Green]_(* 0.00\¢_m;_(@_)_%"/>
    <numFmt numFmtId="185" formatCode="_(* #,##0.000\¢_m;[Red]_(* \-#,##0.000\¢_m;[Green]_(* 0.000\¢_m;_(@_)_%"/>
    <numFmt numFmtId="186" formatCode="_(_(\£* #,##0_)_%;[Red]_(\(\£* #,##0\)_%;[Green]_(_(\£* #,##0_)_%;_(@_)_%"/>
    <numFmt numFmtId="187" formatCode="_(_(\£* #,##0.0_)_%;[Red]_(\(\£* #,##0.0\)_%;[Green]_(_(\£* #,##0.0_)_%;_(@_)_%"/>
    <numFmt numFmtId="188" formatCode="_(_(\£* #,##0.00_)_%;[Red]_(\(\£* #,##0.00\)_%;[Green]_(_(\£* #,##0.00_)_%;_(@_)_%"/>
    <numFmt numFmtId="189" formatCode="0.0%_);\(0.0%\)"/>
    <numFmt numFmtId="190" formatCode="\•\ \ @"/>
    <numFmt numFmtId="191" formatCode="_(_(\•_ #0_)_%;[Red]_(_(\•_ \-#0\)_%;[Green]_(_(\•_ #0_)_%;_(_(\•_ @_)_%"/>
    <numFmt numFmtId="192" formatCode="_(_(_•_ \•_ #0_)_%;[Red]_(_(_•_ \•_ \-#0\)_%;[Green]_(_(_•_ \•_ #0_)_%;_(_(_•_ \•_ @_)_%"/>
    <numFmt numFmtId="193" formatCode="_(_(_•_ _•_ \•_ #0_)_%;[Red]_(_(_•_ _•_ \•_ \-#0\)_%;[Green]_(_(_•_ _•_ \•_ #0_)_%;_(_(_•_ \•_ @_)_%"/>
    <numFmt numFmtId="194" formatCode="#,##0,_);\(#,##0,\)"/>
    <numFmt numFmtId="195" formatCode="0.0,_);\(0.0,\)"/>
    <numFmt numFmtId="196" formatCode="0.00,_);\(0.00,\)"/>
    <numFmt numFmtId="197" formatCode="_(_(_$* #,##0.0_)_%;[Red]_(\(_$* #,##0.0\)_%;[Green]_(_(_$* #,##0.0_)_%;_(@_)_%"/>
    <numFmt numFmtId="198" formatCode="_(_(_$* #,##0.00_)_%;[Red]_(\(_$* #,##0.00\)_%;[Green]_(_(_$* #,##0.00_)_%;_(@_)_%"/>
    <numFmt numFmtId="199" formatCode="_(_(_$* #,##0.000_)_%;[Red]_(\(_$* #,##0.000\)_%;[Green]_(_(_$* #,##0.000_)_%;_(@_)_%"/>
    <numFmt numFmtId="200" formatCode="_._.* #,##0.0_)_%;_._.* \(#,##0.0\)_%;_._.* \ ?_)_%"/>
    <numFmt numFmtId="201" formatCode="_._.* #,##0.00_)_%;_._.* \(#,##0.00\)_%;_._.* \ ?_)_%"/>
    <numFmt numFmtId="202" formatCode="_._.* #,##0.000_)_%;_._.* \(#,##0.000\)_%;_._.* \ ?_)_%"/>
    <numFmt numFmtId="203" formatCode="_._.* #,##0.0000_)_%;_._.* \(#,##0.0000\)_%;_._.* \ ?_)_%"/>
    <numFmt numFmtId="204" formatCode="_(_(&quot;$&quot;* #,##0.0_)_%;[Red]_(\(&quot;$&quot;* #,##0.0\)_%;[Green]_(_(&quot;$&quot;* #,##0.0_)_%;_(@_)_%"/>
    <numFmt numFmtId="205" formatCode="_(_(&quot;$&quot;* #,##0.00_)_%;[Red]_(\(&quot;$&quot;* #,##0.00\)_%;[Green]_(_(&quot;$&quot;* #,##0.00_)_%;_(@_)_%"/>
    <numFmt numFmtId="206" formatCode="_(_(&quot;$&quot;* #,##0.000_)_%;[Red]_(\(&quot;$&quot;* #,##0.000\)_%;[Green]_(_(&quot;$&quot;* #,##0.000_)_%;_(@_)_%"/>
    <numFmt numFmtId="207" formatCode="_._.&quot;$&quot;* #,##0.0_)_%;_._.&quot;$&quot;* \(#,##0.0\)_%;_._.&quot;$&quot;* \ ?_)_%"/>
    <numFmt numFmtId="208" formatCode="_._.&quot;$&quot;* #,##0.00_)_%;_._.&quot;$&quot;* \(#,##0.00\)_%;_._.&quot;$&quot;* \ ?_)_%"/>
    <numFmt numFmtId="209" formatCode="_._.&quot;$&quot;* #,##0.000_)_%;_._.&quot;$&quot;* \(#,##0.000\)_%;_._.&quot;$&quot;* \ ?_)_%"/>
    <numFmt numFmtId="210" formatCode="_._.&quot;$&quot;* #,##0.0000_)_%;_._.&quot;$&quot;* \(#,##0.0000\)_%;_._.&quot;$&quot;* \ ?_)_%"/>
    <numFmt numFmtId="211" formatCode="&quot;$&quot;#,##0,_);\(&quot;$&quot;#,##0,\)"/>
    <numFmt numFmtId="212" formatCode="&quot;$&quot;0.0,_);\(&quot;$&quot;0.0,\)"/>
    <numFmt numFmtId="213" formatCode="&quot;$&quot;0.00,_);\(&quot;$&quot;0.00,\)"/>
    <numFmt numFmtId="214" formatCode="_(* dd\-mmm\-yy_)_%"/>
    <numFmt numFmtId="215" formatCode="_(* dd\ mmmm\ yyyy_)_%"/>
    <numFmt numFmtId="216" formatCode="_(* mmmm\ dd\,\ yyyy_)_%"/>
    <numFmt numFmtId="217" formatCode="_(* dd\.mm\.yyyy_)_%"/>
    <numFmt numFmtId="218" formatCode="_(* mm/dd/yyyy_)_%"/>
    <numFmt numFmtId="219" formatCode="m/d/yy;@"/>
    <numFmt numFmtId="220" formatCode="#,##0.0\x_);\(#,##0.0\x\)"/>
    <numFmt numFmtId="221" formatCode="#,##0.00\x_);\(#,##0.00\x\)"/>
    <numFmt numFmtId="222" formatCode="[$€-2]\ #,##0_);\([$€-2]\ #,##0\)"/>
    <numFmt numFmtId="223" formatCode="[$€-2]\ #,##0.0_);\([$€-2]\ #,##0.0\)"/>
    <numFmt numFmtId="224" formatCode="_([$€-2]* #,##0.00_);_([$€-2]* \(#,##0.00\);_([$€-2]* &quot;-&quot;??_)"/>
    <numFmt numFmtId="225" formatCode="General_)_%"/>
    <numFmt numFmtId="226" formatCode="_(_(#0_)_%;[Red]_(_(\-#0\)_%;[Green]_(_(#0_)_%;_(_(@_)_%"/>
    <numFmt numFmtId="227" formatCode="_(_(_•_ #0_)_%;[Red]_(_(_•_ \-#0\)_%;[Green]_(_(_•_ #0_)_%;_(_(_•_ @_)_%"/>
    <numFmt numFmtId="228" formatCode="_(_(_•_ _•_ #0_)_%;[Red]_(_(_•_ _•_ \-#0\)_%;[Green]_(_(_•_ _•_ #0_)_%;_(_(_•_ _•_ @_)_%"/>
    <numFmt numFmtId="229" formatCode="_(_(_•_ _•_ _•_ #0_)_%;[Red]_(_(_•_ _•_ _•_ \-#0\)_%;[Green]_(_(_•_ _•_ _•_ #0_)_%;_(_(_•_ _•_ _•_ @_)_%"/>
    <numFmt numFmtId="230" formatCode="#,##0\x;\(#,##0\x\)"/>
    <numFmt numFmtId="231" formatCode="0.0\x;\(0.0\x\)"/>
    <numFmt numFmtId="232" formatCode="#,##0.00\x;\(#,##0.00\x\)"/>
    <numFmt numFmtId="233" formatCode="#,##0.000\x;\(#,##0.000\x\)"/>
    <numFmt numFmtId="234" formatCode="0.0_);\(0.0\)"/>
    <numFmt numFmtId="235" formatCode="0%;\(0%\)"/>
    <numFmt numFmtId="236" formatCode="0.00\ \x_);\(0.00\ \x\)"/>
    <numFmt numFmtId="237" formatCode="_(* #,##0_);_(* \(#,##0\);_(* &quot;-&quot;????_);_(@_)"/>
    <numFmt numFmtId="238" formatCode="0__"/>
    <numFmt numFmtId="239" formatCode="h:mmAM/PM"/>
    <numFmt numFmtId="240" formatCode="0&quot; E&quot;"/>
    <numFmt numFmtId="241" formatCode="yyyy"/>
    <numFmt numFmtId="242" formatCode="0.0%;\(0.0%\)"/>
    <numFmt numFmtId="243" formatCode="0.00%_);\(0.00%\)"/>
    <numFmt numFmtId="244" formatCode="0.000%_);\(0.000%\)"/>
    <numFmt numFmtId="245" formatCode="_(0_)%;\(0\)%;\ \ ?_)%"/>
    <numFmt numFmtId="246" formatCode="_._._(* 0_)%;_._.* \(0\)%;_._._(* \ ?_)%"/>
    <numFmt numFmtId="247" formatCode="0%_);\(0%\)"/>
    <numFmt numFmtId="248" formatCode="_(* #,##0_)_%;[Red]_(* \(#,##0\)_%;[Green]_(* 0_)_%;_(@_)_%"/>
    <numFmt numFmtId="249" formatCode="_(* #,##0.0%_);[Red]_(* \-#,##0.0%_);[Green]_(* 0.0%_);_(@_)_%"/>
    <numFmt numFmtId="250" formatCode="_(* #,##0.00%_);[Red]_(* \-#,##0.00%_);[Green]_(* 0.00%_);_(@_)_%"/>
    <numFmt numFmtId="251" formatCode="_(* #,##0.000%_);[Red]_(* \-#,##0.000%_);[Green]_(* 0.000%_);_(@_)_%"/>
    <numFmt numFmtId="252" formatCode="_(0.0_)%;\(0.0\)%;\ \ ?_)%"/>
    <numFmt numFmtId="253" formatCode="_._._(* 0.0_)%;_._.* \(0.0\)%;_._._(* \ ?_)%"/>
    <numFmt numFmtId="254" formatCode="_(0.00_)%;\(0.00\)%;\ \ ?_)%"/>
    <numFmt numFmtId="255" formatCode="_._._(* 0.00_)%;_._.* \(0.00\)%;_._._(* \ ?_)%"/>
    <numFmt numFmtId="256" formatCode="_(0.000_)%;\(0.000\)%;\ \ ?_)%"/>
    <numFmt numFmtId="257" formatCode="_._._(* 0.000_)%;_._.* \(0.000\)%;_._._(* \ ?_)%"/>
    <numFmt numFmtId="258" formatCode="_(0.0000_)%;\(0.0000\)%;\ \ ?_)%"/>
    <numFmt numFmtId="259" formatCode="_._._(* 0.0000_)%;_._.* \(0.0000\)%;_._._(* \ ?_)%"/>
    <numFmt numFmtId="260" formatCode="mmmm\ dd\,\ yy"/>
    <numFmt numFmtId="261" formatCode="0.0\x"/>
    <numFmt numFmtId="262" formatCode="_(* #,##0_);_(* \(#,##0\);_(* \ ?_)"/>
    <numFmt numFmtId="263" formatCode="_(* #,##0.0_);_(* \(#,##0.0\);_(* \ ?_)"/>
    <numFmt numFmtId="264" formatCode="_(* #,##0.00_);_(* \(#,##0.00\);_(* \ ?_)"/>
    <numFmt numFmtId="265" formatCode="_(* #,##0.000_);_(* \(#,##0.000\);_(* \ ?_)"/>
    <numFmt numFmtId="266" formatCode="_(&quot;$&quot;* #,##0_);_(&quot;$&quot;* \(#,##0\);_(&quot;$&quot;* \ ?_)"/>
    <numFmt numFmtId="267" formatCode="_(&quot;$&quot;* #,##0.0_);_(&quot;$&quot;* \(#,##0.0\);_(&quot;$&quot;* \ ?_)"/>
    <numFmt numFmtId="268" formatCode="_(&quot;$&quot;* #,##0.00_);_(&quot;$&quot;* \(#,##0.00\);_(&quot;$&quot;* \ ?_)"/>
    <numFmt numFmtId="269" formatCode="_(&quot;$&quot;* #,##0.000_);_(&quot;$&quot;* \(#,##0.000\);_(&quot;$&quot;* \ ?_)"/>
    <numFmt numFmtId="270" formatCode="0000&quot;A&quot;"/>
    <numFmt numFmtId="271" formatCode="0&quot;E&quot;"/>
    <numFmt numFmtId="272" formatCode="0000&quot;E&quot;"/>
    <numFmt numFmtId="273" formatCode="_(* #,##0.00000_);_(* \(#,##0.00000\);_(* &quot;-&quot;?????_);_(@_)"/>
    <numFmt numFmtId="274" formatCode="0.0000%"/>
    <numFmt numFmtId="275" formatCode="0_)"/>
    <numFmt numFmtId="276" formatCode="0.0"/>
    <numFmt numFmtId="277" formatCode="_(&quot;$&quot;* #,##0.0_);_(&quot;$&quot;* \(#,##0.0\);_(&quot;$&quot;* &quot;-&quot;??_);_(@_)"/>
    <numFmt numFmtId="278" formatCode="&quot;$&quot;#,##0.0000"/>
    <numFmt numFmtId="279" formatCode="m/d/yyyy;@"/>
    <numFmt numFmtId="280" formatCode="0.000000%"/>
  </numFmts>
  <fonts count="13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1"/>
      <color theme="1"/>
      <name val="Calibri"/>
      <family val="2"/>
      <scheme val="minor"/>
    </font>
    <font>
      <vertAlign val="superscript"/>
      <sz val="10"/>
      <color theme="1"/>
      <name val="Times New Roman"/>
      <family val="1"/>
    </font>
    <font>
      <b/>
      <sz val="12"/>
      <name val="Times New Roman"/>
      <family val="1"/>
    </font>
    <font>
      <sz val="11"/>
      <color indexed="8"/>
      <name val="Arial Narrow"/>
      <family val="2"/>
    </font>
    <font>
      <sz val="12"/>
      <color indexed="8"/>
      <name val="Arial"/>
      <family val="2"/>
    </font>
    <font>
      <sz val="10"/>
      <color rgb="FFFF0000"/>
      <name val="Times New Roman"/>
      <family val="1"/>
    </font>
    <font>
      <sz val="12"/>
      <color indexed="40"/>
      <name val="Times New Roman"/>
      <family val="1"/>
    </font>
    <font>
      <b/>
      <sz val="10"/>
      <color rgb="FFFF0000"/>
      <name val="Times New Roman"/>
      <family val="1"/>
    </font>
    <font>
      <sz val="11"/>
      <color rgb="FFFF0000"/>
      <name val="Times New Roman"/>
      <family val="1"/>
    </font>
    <font>
      <sz val="11"/>
      <color theme="1"/>
      <name val="Times New Roman"/>
      <family val="1"/>
    </font>
    <font>
      <b/>
      <sz val="11"/>
      <color theme="1"/>
      <name val="Times New Roman"/>
      <family val="1"/>
    </font>
    <font>
      <b/>
      <sz val="11"/>
      <name val="Times New Roman"/>
      <family val="1"/>
    </font>
    <font>
      <sz val="11"/>
      <color indexed="10"/>
      <name val="Times New Roman"/>
      <family val="1"/>
    </font>
    <font>
      <b/>
      <u/>
      <sz val="11"/>
      <name val="Times New Roman"/>
      <family val="1"/>
    </font>
    <font>
      <b/>
      <i/>
      <sz val="11"/>
      <name val="Times New Roman"/>
      <family val="1"/>
    </font>
    <font>
      <i/>
      <sz val="11"/>
      <name val="Times New Roman"/>
      <family val="1"/>
    </font>
    <font>
      <vertAlign val="superscript"/>
      <sz val="9.9"/>
      <name val="Times New Roman"/>
      <family val="1"/>
    </font>
    <font>
      <sz val="10"/>
      <color theme="1"/>
      <name val="Times New Roman"/>
      <family val="1"/>
    </font>
    <font>
      <b/>
      <sz val="12"/>
      <color theme="1" tint="0.34998626667073579"/>
      <name val="Times New Roman"/>
      <family val="1"/>
    </font>
    <font>
      <sz val="12"/>
      <color theme="1" tint="0.34998626667073579"/>
      <name val="Times New Roman"/>
      <family val="1"/>
    </font>
    <font>
      <b/>
      <sz val="12"/>
      <color rgb="FFFF0000"/>
      <name val="Times New Roman"/>
      <family val="1"/>
    </font>
    <font>
      <b/>
      <sz val="12"/>
      <color theme="1"/>
      <name val="Times New Roman"/>
      <family val="1"/>
    </font>
    <font>
      <b/>
      <sz val="10"/>
      <color rgb="FF3333FF"/>
      <name val="Times New Roman"/>
      <family val="1"/>
    </font>
    <font>
      <b/>
      <sz val="11"/>
      <color rgb="FFFF0000"/>
      <name val="Times New Roman"/>
      <family val="1"/>
    </font>
    <font>
      <sz val="12"/>
      <color theme="1"/>
      <name val="Times New Roman"/>
      <family val="1"/>
    </font>
    <font>
      <b/>
      <sz val="12"/>
      <color rgb="FF3333FF"/>
      <name val="Times New Roman"/>
      <family val="1"/>
    </font>
    <font>
      <i/>
      <sz val="11"/>
      <color theme="1"/>
      <name val="Times New Roman"/>
      <family val="1"/>
    </font>
    <font>
      <u/>
      <sz val="12"/>
      <name val="Times New Roman"/>
      <family val="1"/>
    </font>
    <font>
      <sz val="10"/>
      <color rgb="FF0000FF"/>
      <name val="Times New Roman"/>
      <family val="1"/>
    </font>
    <font>
      <sz val="11"/>
      <color indexed="8"/>
      <name val="Times New Roman"/>
      <family val="1"/>
    </font>
    <font>
      <b/>
      <sz val="14"/>
      <name val="Times New Roman"/>
      <family val="1"/>
    </font>
    <font>
      <b/>
      <sz val="16"/>
      <name val="Times New Roman"/>
      <family val="1"/>
    </font>
    <font>
      <b/>
      <i/>
      <sz val="10"/>
      <name val="Times New Roman"/>
      <family val="1"/>
    </font>
    <font>
      <b/>
      <sz val="8"/>
      <name val="Times New Roman"/>
      <family val="1"/>
    </font>
    <font>
      <sz val="12"/>
      <color indexed="12"/>
      <name val="Times New Roman"/>
      <family val="1"/>
    </font>
    <font>
      <sz val="11"/>
      <name val="Calibri"/>
      <family val="2"/>
      <scheme val="minor"/>
    </font>
    <font>
      <sz val="11"/>
      <name val="Arial Narrow"/>
      <family val="2"/>
    </font>
  </fonts>
  <fills count="18">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32">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32">
    <xf numFmtId="172" fontId="0" fillId="0" borderId="0" applyProtection="0"/>
    <xf numFmtId="0" fontId="15" fillId="0" borderId="0"/>
    <xf numFmtId="183" fontId="53" fillId="0" borderId="0" applyFont="0" applyFill="0" applyBorder="0" applyAlignment="0" applyProtection="0"/>
    <xf numFmtId="184" fontId="53" fillId="0" borderId="0" applyFont="0" applyFill="0" applyBorder="0" applyAlignment="0" applyProtection="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0" fontId="23" fillId="0" borderId="0"/>
    <xf numFmtId="189" fontId="15" fillId="2" borderId="0" applyNumberFormat="0" applyFill="0" applyBorder="0" applyAlignment="0" applyProtection="0">
      <alignment horizontal="right" vertical="center"/>
    </xf>
    <xf numFmtId="189" fontId="47" fillId="0" borderId="0" applyNumberFormat="0" applyFill="0" applyBorder="0" applyAlignment="0" applyProtection="0"/>
    <xf numFmtId="0" fontId="15" fillId="0" borderId="1" applyNumberFormat="0" applyFont="0" applyFill="0" applyAlignment="0" applyProtection="0"/>
    <xf numFmtId="190" fontId="45" fillId="0" borderId="0" applyFont="0" applyFill="0" applyBorder="0" applyAlignment="0" applyProtection="0"/>
    <xf numFmtId="191" fontId="53" fillId="0" borderId="0" applyFont="0" applyFill="0" applyBorder="0" applyProtection="0">
      <alignment horizontal="left"/>
    </xf>
    <xf numFmtId="192" fontId="53" fillId="0" borderId="0" applyFont="0" applyFill="0" applyBorder="0" applyProtection="0">
      <alignment horizontal="left"/>
    </xf>
    <xf numFmtId="193" fontId="53" fillId="0" borderId="0" applyFont="0" applyFill="0" applyBorder="0" applyProtection="0">
      <alignment horizontal="left"/>
    </xf>
    <xf numFmtId="37" fontId="54" fillId="0" borderId="0" applyFont="0" applyFill="0" applyBorder="0" applyAlignment="0" applyProtection="0">
      <alignment vertical="center"/>
      <protection locked="0"/>
    </xf>
    <xf numFmtId="194" fontId="55" fillId="0" borderId="0" applyFont="0" applyFill="0" applyBorder="0" applyAlignment="0" applyProtection="0"/>
    <xf numFmtId="0" fontId="56" fillId="0" borderId="0"/>
    <xf numFmtId="0" fontId="56" fillId="0" borderId="0"/>
    <xf numFmtId="172" fontId="13" fillId="0" borderId="0" applyFill="0"/>
    <xf numFmtId="172" fontId="13" fillId="0" borderId="0">
      <alignment horizontal="center"/>
    </xf>
    <xf numFmtId="0" fontId="13" fillId="0" borderId="0" applyFill="0">
      <alignment horizontal="center"/>
    </xf>
    <xf numFmtId="172"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2"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2"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2"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2"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2"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2"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8" fontId="57" fillId="0" borderId="0" applyFont="0" applyFill="0" applyBorder="0" applyAlignment="0" applyProtection="0">
      <protection locked="0"/>
    </xf>
    <xf numFmtId="195" fontId="57" fillId="0" borderId="0" applyFont="0" applyFill="0" applyBorder="0" applyAlignment="0" applyProtection="0">
      <protection locked="0"/>
    </xf>
    <xf numFmtId="39" fontId="15" fillId="0" borderId="0" applyFont="0" applyFill="0" applyBorder="0" applyAlignment="0" applyProtection="0"/>
    <xf numFmtId="196" fontId="58" fillId="0" borderId="0" applyFont="0" applyFill="0" applyBorder="0" applyAlignment="0" applyProtection="0"/>
    <xf numFmtId="181"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7" fontId="53" fillId="0" borderId="0" applyFont="0" applyFill="0" applyBorder="0" applyAlignment="0" applyProtection="0"/>
    <xf numFmtId="198" fontId="53" fillId="0" borderId="0" applyFont="0" applyFill="0" applyBorder="0" applyAlignment="0" applyProtection="0"/>
    <xf numFmtId="199" fontId="53" fillId="0" borderId="0" applyFont="0" applyFill="0" applyBorder="0" applyAlignment="0" applyProtection="0"/>
    <xf numFmtId="200" fontId="51" fillId="0" borderId="0" applyFont="0" applyFill="0" applyBorder="0" applyAlignment="0" applyProtection="0"/>
    <xf numFmtId="201" fontId="60" fillId="0" borderId="0" applyFont="0" applyFill="0" applyBorder="0" applyAlignment="0" applyProtection="0"/>
    <xf numFmtId="202" fontId="60" fillId="0" borderId="0" applyFont="0" applyFill="0" applyBorder="0" applyAlignment="0" applyProtection="0"/>
    <xf numFmtId="203"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2"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4" fontId="53" fillId="0" borderId="0" applyFont="0" applyFill="0" applyBorder="0" applyAlignment="0" applyProtection="0"/>
    <xf numFmtId="205" fontId="53" fillId="0" borderId="0" applyFont="0" applyFill="0" applyBorder="0" applyAlignment="0" applyProtection="0"/>
    <xf numFmtId="206" fontId="53" fillId="0" borderId="0" applyFont="0" applyFill="0" applyBorder="0" applyAlignment="0" applyProtection="0"/>
    <xf numFmtId="207" fontId="60" fillId="0" borderId="0" applyFont="0" applyFill="0" applyBorder="0" applyAlignment="0" applyProtection="0"/>
    <xf numFmtId="208" fontId="60" fillId="0" borderId="0" applyFont="0" applyFill="0" applyBorder="0" applyAlignment="0" applyProtection="0"/>
    <xf numFmtId="209" fontId="60" fillId="0" borderId="0" applyFont="0" applyFill="0" applyBorder="0" applyAlignment="0" applyProtection="0"/>
    <xf numFmtId="210"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1" fontId="55" fillId="0" borderId="0" applyFont="0" applyFill="0" applyBorder="0" applyAlignment="0" applyProtection="0"/>
    <xf numFmtId="180" fontId="15" fillId="0" borderId="0" applyFont="0" applyFill="0" applyBorder="0" applyAlignment="0" applyProtection="0"/>
    <xf numFmtId="212" fontId="57" fillId="0" borderId="0" applyFont="0" applyFill="0" applyBorder="0" applyAlignment="0" applyProtection="0">
      <protection locked="0"/>
    </xf>
    <xf numFmtId="7" fontId="13" fillId="0" borderId="0" applyFont="0" applyFill="0" applyBorder="0" applyAlignment="0" applyProtection="0"/>
    <xf numFmtId="213" fontId="58" fillId="0" borderId="0" applyFont="0" applyFill="0" applyBorder="0" applyAlignment="0" applyProtection="0"/>
    <xf numFmtId="179"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4" fontId="53" fillId="0" borderId="0" applyFont="0" applyFill="0" applyBorder="0" applyProtection="0"/>
    <xf numFmtId="215" fontId="53" fillId="0" borderId="0" applyFont="0" applyFill="0" applyBorder="0" applyProtection="0"/>
    <xf numFmtId="216" fontId="53" fillId="0" borderId="0" applyFont="0" applyFill="0" applyBorder="0" applyAlignment="0" applyProtection="0"/>
    <xf numFmtId="217" fontId="53" fillId="0" borderId="0" applyFont="0" applyFill="0" applyBorder="0" applyAlignment="0" applyProtection="0"/>
    <xf numFmtId="218" fontId="53" fillId="0" borderId="0" applyFont="0" applyFill="0" applyBorder="0" applyAlignment="0" applyProtection="0"/>
    <xf numFmtId="219" fontId="64" fillId="0" borderId="0" applyFont="0" applyFill="0" applyBorder="0" applyAlignment="0" applyProtection="0"/>
    <xf numFmtId="5" fontId="65" fillId="0" borderId="0" applyBorder="0"/>
    <xf numFmtId="180" fontId="65" fillId="0" borderId="0" applyBorder="0"/>
    <xf numFmtId="7" fontId="65" fillId="0" borderId="0" applyBorder="0"/>
    <xf numFmtId="37" fontId="65" fillId="0" borderId="0" applyBorder="0"/>
    <xf numFmtId="178" fontId="65" fillId="0" borderId="0" applyBorder="0"/>
    <xf numFmtId="220" fontId="65" fillId="0" borderId="0" applyBorder="0"/>
    <xf numFmtId="39" fontId="65" fillId="0" borderId="0" applyBorder="0"/>
    <xf numFmtId="221" fontId="65" fillId="0" borderId="0" applyBorder="0"/>
    <xf numFmtId="7" fontId="15" fillId="0" borderId="0" applyFont="0" applyFill="0" applyBorder="0" applyAlignment="0" applyProtection="0"/>
    <xf numFmtId="222" fontId="55" fillId="0" borderId="0" applyFont="0" applyFill="0" applyBorder="0" applyAlignment="0" applyProtection="0"/>
    <xf numFmtId="223" fontId="55" fillId="0" borderId="0" applyFont="0" applyFill="0" applyAlignment="0" applyProtection="0"/>
    <xf numFmtId="222" fontId="55" fillId="0" borderId="0" applyFont="0" applyFill="0" applyBorder="0" applyAlignment="0" applyProtection="0"/>
    <xf numFmtId="224" fontId="13" fillId="0" borderId="0" applyFont="0" applyFill="0" applyBorder="0" applyAlignment="0" applyProtection="0"/>
    <xf numFmtId="2" fontId="15" fillId="0" borderId="0" applyFont="0" applyFill="0" applyBorder="0" applyAlignment="0" applyProtection="0"/>
    <xf numFmtId="0" fontId="66" fillId="0" borderId="0"/>
    <xf numFmtId="178"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5"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6" fontId="53" fillId="0" borderId="0" applyFont="0" applyFill="0" applyBorder="0" applyProtection="0">
      <alignment horizontal="left"/>
    </xf>
    <xf numFmtId="227" fontId="53" fillId="0" borderId="0" applyFont="0" applyFill="0" applyBorder="0" applyProtection="0">
      <alignment horizontal="left"/>
    </xf>
    <xf numFmtId="228" fontId="53" fillId="0" borderId="0" applyFont="0" applyFill="0" applyBorder="0" applyProtection="0">
      <alignment horizontal="left"/>
    </xf>
    <xf numFmtId="229"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0" fontId="71" fillId="0" borderId="0" applyBorder="0"/>
    <xf numFmtId="7" fontId="71" fillId="0" borderId="0" applyBorder="0"/>
    <xf numFmtId="37" fontId="71" fillId="0" borderId="0" applyBorder="0"/>
    <xf numFmtId="178" fontId="71" fillId="0" borderId="0" applyBorder="0"/>
    <xf numFmtId="220" fontId="71" fillId="0" borderId="0" applyBorder="0"/>
    <xf numFmtId="39" fontId="71" fillId="0" borderId="0" applyBorder="0"/>
    <xf numFmtId="221" fontId="71" fillId="0" borderId="0" applyBorder="0"/>
    <xf numFmtId="0" fontId="64" fillId="0" borderId="10" applyNumberFormat="0" applyFont="0" applyFill="0" applyAlignment="0" applyProtection="0"/>
    <xf numFmtId="0" fontId="72" fillId="0" borderId="0"/>
    <xf numFmtId="0" fontId="13" fillId="9" borderId="0"/>
    <xf numFmtId="230" fontId="15" fillId="0" borderId="0" applyFont="0" applyFill="0" applyBorder="0" applyAlignment="0" applyProtection="0"/>
    <xf numFmtId="231" fontId="15" fillId="0" borderId="0" applyFont="0" applyFill="0" applyBorder="0" applyAlignment="0" applyProtection="0"/>
    <xf numFmtId="232" fontId="15" fillId="0" borderId="0" applyFont="0" applyFill="0" applyBorder="0" applyAlignment="0" applyProtection="0"/>
    <xf numFmtId="233" fontId="15" fillId="0" borderId="0" applyFont="0" applyFill="0" applyBorder="0" applyAlignment="0" applyProtection="0"/>
    <xf numFmtId="0" fontId="15" fillId="0" borderId="0" applyFont="0" applyFill="0" applyBorder="0" applyAlignment="0" applyProtection="0">
      <alignment horizontal="right"/>
    </xf>
    <xf numFmtId="234" fontId="15" fillId="0" borderId="0" applyFont="0" applyFill="0" applyBorder="0" applyAlignment="0" applyProtection="0"/>
    <xf numFmtId="37" fontId="73" fillId="0" borderId="0"/>
    <xf numFmtId="0" fontId="55" fillId="0" borderId="0"/>
    <xf numFmtId="0" fontId="94" fillId="0" borderId="0"/>
    <xf numFmtId="7" fontId="93"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172" fontId="35" fillId="0" borderId="0" applyProtection="0"/>
    <xf numFmtId="0" fontId="94" fillId="0" borderId="0"/>
    <xf numFmtId="0" fontId="94" fillId="0" borderId="0"/>
    <xf numFmtId="0" fontId="94" fillId="0" borderId="0"/>
    <xf numFmtId="0" fontId="94" fillId="0" borderId="0"/>
    <xf numFmtId="0" fontId="35" fillId="0" borderId="0" applyProtection="0"/>
    <xf numFmtId="172" fontId="35" fillId="0" borderId="0" applyProtection="0"/>
    <xf numFmtId="172" fontId="35" fillId="0" borderId="0" applyProtection="0"/>
    <xf numFmtId="172" fontId="35" fillId="0" borderId="0" applyProtection="0"/>
    <xf numFmtId="0" fontId="15" fillId="0" borderId="0"/>
    <xf numFmtId="172" fontId="35" fillId="0" borderId="0" applyProtection="0"/>
    <xf numFmtId="0" fontId="15" fillId="0" borderId="0"/>
    <xf numFmtId="0" fontId="45" fillId="10" borderId="0" applyNumberFormat="0" applyFont="0" applyBorder="0" applyAlignment="0"/>
    <xf numFmtId="235" fontId="15" fillId="0" borderId="0" applyFont="0" applyFill="0" applyBorder="0" applyAlignment="0" applyProtection="0"/>
    <xf numFmtId="236" fontId="74" fillId="0" borderId="0"/>
    <xf numFmtId="235" fontId="15" fillId="0" borderId="0" applyFont="0" applyFill="0" applyBorder="0" applyAlignment="0" applyProtection="0"/>
    <xf numFmtId="235" fontId="15" fillId="0" borderId="0" applyFont="0" applyFill="0" applyBorder="0" applyAlignment="0" applyProtection="0"/>
    <xf numFmtId="235" fontId="15" fillId="0" borderId="0" applyFont="0" applyFill="0" applyBorder="0" applyAlignment="0" applyProtection="0"/>
    <xf numFmtId="237" fontId="15" fillId="0" borderId="0"/>
    <xf numFmtId="238" fontId="55" fillId="0" borderId="0"/>
    <xf numFmtId="238" fontId="55" fillId="0" borderId="0"/>
    <xf numFmtId="236" fontId="74" fillId="0" borderId="0"/>
    <xf numFmtId="0" fontId="55" fillId="0" borderId="0"/>
    <xf numFmtId="236" fontId="61" fillId="0" borderId="0"/>
    <xf numFmtId="237" fontId="15" fillId="0" borderId="0"/>
    <xf numFmtId="238" fontId="55" fillId="0" borderId="0"/>
    <xf numFmtId="238" fontId="55" fillId="0" borderId="0"/>
    <xf numFmtId="0" fontId="55" fillId="0" borderId="0"/>
    <xf numFmtId="0" fontId="55" fillId="0" borderId="0"/>
    <xf numFmtId="239" fontId="55" fillId="0" borderId="0"/>
    <xf numFmtId="169" fontId="55" fillId="0" borderId="0"/>
    <xf numFmtId="240" fontId="55" fillId="0" borderId="0"/>
    <xf numFmtId="239" fontId="55" fillId="0" borderId="0"/>
    <xf numFmtId="169" fontId="55" fillId="0" borderId="0"/>
    <xf numFmtId="241" fontId="55" fillId="0" borderId="0"/>
    <xf numFmtId="241" fontId="55" fillId="0" borderId="0"/>
    <xf numFmtId="176" fontId="55" fillId="0" borderId="0"/>
    <xf numFmtId="240" fontId="55" fillId="0" borderId="0"/>
    <xf numFmtId="168" fontId="55" fillId="0" borderId="0"/>
    <xf numFmtId="176" fontId="55" fillId="0" borderId="0"/>
    <xf numFmtId="176" fontId="55" fillId="0" borderId="0"/>
    <xf numFmtId="0" fontId="55" fillId="0" borderId="0"/>
    <xf numFmtId="235" fontId="15" fillId="0" borderId="0" applyFont="0" applyFill="0" applyBorder="0" applyAlignment="0" applyProtection="0"/>
    <xf numFmtId="235" fontId="15" fillId="0" borderId="0" applyFont="0" applyFill="0" applyBorder="0" applyAlignment="0" applyProtection="0"/>
    <xf numFmtId="235" fontId="15" fillId="0" borderId="0" applyFont="0" applyFill="0" applyBorder="0" applyAlignment="0" applyProtection="0"/>
    <xf numFmtId="236" fontId="74" fillId="0" borderId="0"/>
    <xf numFmtId="236" fontId="74" fillId="0" borderId="0"/>
    <xf numFmtId="235" fontId="15" fillId="0" borderId="0" applyFont="0" applyFill="0" applyBorder="0" applyAlignment="0" applyProtection="0"/>
    <xf numFmtId="236" fontId="74" fillId="0" borderId="0"/>
    <xf numFmtId="236" fontId="74" fillId="0" borderId="0"/>
    <xf numFmtId="239" fontId="55" fillId="0" borderId="0"/>
    <xf numFmtId="169" fontId="55" fillId="0" borderId="0"/>
    <xf numFmtId="240" fontId="55" fillId="0" borderId="0"/>
    <xf numFmtId="239" fontId="55" fillId="0" borderId="0"/>
    <xf numFmtId="169" fontId="55" fillId="0" borderId="0"/>
    <xf numFmtId="241" fontId="55" fillId="0" borderId="0"/>
    <xf numFmtId="241" fontId="55" fillId="0" borderId="0"/>
    <xf numFmtId="176" fontId="55" fillId="0" borderId="0"/>
    <xf numFmtId="240" fontId="55" fillId="0" borderId="0"/>
    <xf numFmtId="168" fontId="55" fillId="0" borderId="0"/>
    <xf numFmtId="176" fontId="55" fillId="0" borderId="0"/>
    <xf numFmtId="176" fontId="55" fillId="0" borderId="0"/>
    <xf numFmtId="242" fontId="23" fillId="11" borderId="0" applyFont="0" applyFill="0" applyBorder="0" applyAlignment="0" applyProtection="0"/>
    <xf numFmtId="243" fontId="23" fillId="11" borderId="0" applyFont="0" applyFill="0" applyBorder="0" applyAlignment="0" applyProtection="0"/>
    <xf numFmtId="244" fontId="15" fillId="0" borderId="0" applyFont="0" applyFill="0" applyBorder="0" applyAlignment="0" applyProtection="0"/>
    <xf numFmtId="9" fontId="15" fillId="0" borderId="0" applyFont="0" applyFill="0" applyBorder="0" applyAlignment="0" applyProtection="0"/>
    <xf numFmtId="245" fontId="60" fillId="0" borderId="0" applyFont="0" applyFill="0" applyBorder="0" applyAlignment="0" applyProtection="0"/>
    <xf numFmtId="246" fontId="51" fillId="0" borderId="0" applyFont="0" applyFill="0" applyBorder="0" applyAlignment="0" applyProtection="0"/>
    <xf numFmtId="247" fontId="15" fillId="0" borderId="0" applyFont="0" applyFill="0" applyBorder="0" applyAlignment="0" applyProtection="0"/>
    <xf numFmtId="248" fontId="53" fillId="0" borderId="0" applyFont="0" applyFill="0" applyBorder="0" applyAlignment="0" applyProtection="0"/>
    <xf numFmtId="249" fontId="53"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60" fillId="0" borderId="0" applyFont="0" applyFill="0" applyBorder="0" applyAlignment="0" applyProtection="0"/>
    <xf numFmtId="253" fontId="51"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18" fillId="0" borderId="0" applyFont="0" applyFill="0" applyBorder="0" applyAlignment="0" applyProtection="0">
      <protection locked="0"/>
    </xf>
    <xf numFmtId="259"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89" fontId="61" fillId="0" borderId="0" applyFill="0" applyBorder="0" applyAlignment="0" applyProtection="0"/>
    <xf numFmtId="9" fontId="65" fillId="0" borderId="0" applyBorder="0"/>
    <xf numFmtId="170"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2"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0" fontId="62" fillId="0" borderId="0">
      <alignment horizontal="center"/>
    </xf>
    <xf numFmtId="261"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2"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2" fontId="51" fillId="0" borderId="0" applyFont="0" applyFill="0" applyBorder="0" applyAlignment="0" applyProtection="0"/>
    <xf numFmtId="263" fontId="51" fillId="0" borderId="0" applyFon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83" fillId="3" borderId="13" applyFont="0" applyFill="0" applyBorder="0" applyAlignment="0" applyProtection="0"/>
    <xf numFmtId="270" fontId="55" fillId="0" borderId="0" applyFont="0" applyFill="0" applyBorder="0" applyAlignment="0" applyProtection="0"/>
    <xf numFmtId="271" fontId="58" fillId="0" borderId="0" applyFont="0" applyFill="0" applyBorder="0" applyAlignment="0" applyProtection="0"/>
    <xf numFmtId="272" fontId="62" fillId="0" borderId="7" applyFont="0" applyFill="0" applyBorder="0" applyAlignment="0" applyProtection="0">
      <alignment horizontal="right"/>
      <protection locked="0"/>
    </xf>
    <xf numFmtId="43" fontId="11" fillId="0" borderId="0" applyFont="0" applyFill="0" applyBorder="0" applyAlignment="0" applyProtection="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7" fillId="0" borderId="0"/>
    <xf numFmtId="0" fontId="8" fillId="0" borderId="0"/>
    <xf numFmtId="43" fontId="8" fillId="0" borderId="0" applyFont="0" applyFill="0" applyBorder="0" applyAlignment="0" applyProtection="0"/>
    <xf numFmtId="0" fontId="15" fillId="0" borderId="0"/>
    <xf numFmtId="172" fontId="35" fillId="0" borderId="0" applyProtection="0"/>
    <xf numFmtId="0" fontId="7" fillId="0" borderId="0"/>
    <xf numFmtId="0" fontId="6" fillId="0" borderId="0"/>
    <xf numFmtId="172" fontId="35" fillId="0" borderId="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43" fontId="15" fillId="0" borderId="0" applyFont="0" applyFill="0" applyBorder="0" applyAlignment="0" applyProtection="0"/>
    <xf numFmtId="0" fontId="15" fillId="0" borderId="0"/>
    <xf numFmtId="0" fontId="98" fillId="0" borderId="0"/>
    <xf numFmtId="0" fontId="5" fillId="0" borderId="0"/>
    <xf numFmtId="0" fontId="5" fillId="0" borderId="0"/>
    <xf numFmtId="9" fontId="11" fillId="0" borderId="0" applyFont="0" applyFill="0" applyBorder="0" applyAlignment="0" applyProtection="0"/>
    <xf numFmtId="43" fontId="11" fillId="0" borderId="0" applyFont="0" applyFill="0" applyBorder="0" applyAlignment="0" applyProtection="0"/>
    <xf numFmtId="0" fontId="5" fillId="0" borderId="0"/>
    <xf numFmtId="43" fontId="11" fillId="0" borderId="0" applyFont="0" applyFill="0" applyBorder="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15" fillId="0" borderId="0" applyFont="0" applyFill="0" applyBorder="0" applyAlignment="0" applyProtection="0"/>
    <xf numFmtId="0" fontId="2" fillId="0" borderId="0"/>
    <xf numFmtId="9" fontId="2" fillId="0" borderId="0" applyFont="0" applyFill="0" applyBorder="0" applyAlignment="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0" fontId="31" fillId="0" borderId="0" applyFont="0" applyFill="0" applyBorder="0" applyAlignment="0" applyProtection="0"/>
    <xf numFmtId="0"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35" fillId="0" borderId="0" applyProtection="0"/>
    <xf numFmtId="9" fontId="15" fillId="0" borderId="0" applyFont="0" applyFill="0" applyBorder="0" applyAlignment="0" applyProtection="0"/>
    <xf numFmtId="0" fontId="15"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2" fontId="35" fillId="0" borderId="0" applyProtection="0"/>
    <xf numFmtId="9" fontId="15" fillId="0" borderId="0" applyFont="0" applyFill="0" applyBorder="0" applyAlignment="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72" fontId="35" fillId="0" borderId="0" applyProtection="0"/>
    <xf numFmtId="44" fontId="15" fillId="0" borderId="0" applyFont="0" applyFill="0" applyBorder="0" applyAlignment="0" applyProtection="0"/>
    <xf numFmtId="44" fontId="15" fillId="0" borderId="0" applyFont="0" applyFill="0" applyBorder="0" applyAlignment="0" applyProtection="0"/>
    <xf numFmtId="172" fontId="35" fillId="0" borderId="0" applyProtection="0"/>
    <xf numFmtId="172" fontId="35" fillId="0" borderId="0" applyProtection="0"/>
    <xf numFmtId="9"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172" fontId="35" fillId="0" borderId="0" applyProtection="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72" fontId="35" fillId="0" borderId="0" applyProtection="0"/>
    <xf numFmtId="9"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172" fontId="35" fillId="0" borderId="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15" fillId="0" borderId="0"/>
    <xf numFmtId="9" fontId="15" fillId="0" borderId="0" applyFont="0" applyFill="0" applyBorder="0" applyAlignment="0" applyProtection="0"/>
    <xf numFmtId="44" fontId="15" fillId="0" borderId="0" applyFont="0" applyFill="0" applyBorder="0" applyAlignment="0" applyProtection="0"/>
    <xf numFmtId="42" fontId="15" fillId="0" borderId="0" applyFont="0" applyFill="0" applyBorder="0" applyAlignment="0" applyProtection="0"/>
    <xf numFmtId="43" fontId="15" fillId="0" borderId="0" applyFont="0" applyFill="0" applyBorder="0" applyAlignment="0" applyProtection="0"/>
    <xf numFmtId="0" fontId="36" fillId="0" borderId="0" applyNumberFormat="0" applyFont="0" applyFill="0" applyBorder="0" applyProtection="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72" fontId="35" fillId="0" borderId="0" applyProtection="0"/>
  </cellStyleXfs>
  <cellXfs count="1083">
    <xf numFmtId="172" fontId="0" fillId="0" borderId="0" xfId="0" applyAlignment="1"/>
    <xf numFmtId="0" fontId="55" fillId="0" borderId="0" xfId="201" applyNumberFormat="1" applyFont="1" applyFill="1" applyBorder="1" applyProtection="1">
      <protection locked="0"/>
    </xf>
    <xf numFmtId="0" fontId="55" fillId="0" borderId="0" xfId="201" applyNumberFormat="1" applyFont="1" applyFill="1" applyBorder="1"/>
    <xf numFmtId="172" fontId="55" fillId="0" borderId="0" xfId="211" applyFont="1" applyFill="1" applyAlignment="1" applyProtection="1"/>
    <xf numFmtId="3" fontId="55" fillId="0" borderId="0" xfId="211" applyNumberFormat="1" applyFont="1" applyFill="1" applyAlignment="1" applyProtection="1"/>
    <xf numFmtId="169" fontId="55" fillId="0" borderId="0" xfId="211" applyNumberFormat="1" applyFont="1" applyFill="1" applyBorder="1" applyAlignment="1" applyProtection="1"/>
    <xf numFmtId="172" fontId="55" fillId="0" borderId="0" xfId="0" applyFont="1" applyFill="1"/>
    <xf numFmtId="172" fontId="45" fillId="0" borderId="0" xfId="0" applyFont="1" applyAlignment="1"/>
    <xf numFmtId="169" fontId="45" fillId="0" borderId="0" xfId="0" applyNumberFormat="1" applyFont="1" applyAlignment="1"/>
    <xf numFmtId="169" fontId="55" fillId="0" borderId="0" xfId="211" applyNumberFormat="1" applyFont="1" applyFill="1" applyBorder="1" applyAlignment="1" applyProtection="1">
      <alignment vertical="top"/>
    </xf>
    <xf numFmtId="3" fontId="55" fillId="0" borderId="0" xfId="211" applyNumberFormat="1" applyFont="1" applyFill="1" applyAlignment="1" applyProtection="1">
      <alignment vertical="top"/>
    </xf>
    <xf numFmtId="173" fontId="45" fillId="0" borderId="0" xfId="59" applyNumberFormat="1" applyFont="1" applyAlignment="1"/>
    <xf numFmtId="172" fontId="55" fillId="0" borderId="0" xfId="0" applyNumberFormat="1" applyFont="1" applyFill="1" applyBorder="1" applyAlignment="1" applyProtection="1"/>
    <xf numFmtId="172" fontId="55" fillId="0" borderId="0" xfId="201" applyFont="1" applyFill="1" applyBorder="1" applyAlignment="1"/>
    <xf numFmtId="172" fontId="55" fillId="0" borderId="0" xfId="0" applyFont="1" applyFill="1" applyBorder="1" applyAlignment="1">
      <alignment horizontal="center"/>
    </xf>
    <xf numFmtId="172" fontId="125" fillId="0" borderId="0" xfId="0" applyFont="1" applyAlignment="1" applyProtection="1">
      <alignment vertical="center"/>
    </xf>
    <xf numFmtId="172" fontId="45" fillId="0" borderId="0" xfId="0" applyFont="1" applyAlignment="1" applyProtection="1"/>
    <xf numFmtId="172" fontId="45" fillId="0" borderId="0" xfId="0" applyFont="1" applyAlignment="1" applyProtection="1">
      <alignment horizontal="center"/>
    </xf>
    <xf numFmtId="0" fontId="55" fillId="0" borderId="0" xfId="188" applyFont="1" applyFill="1" applyProtection="1"/>
    <xf numFmtId="0" fontId="62" fillId="0" borderId="0" xfId="188" applyFont="1" applyFill="1" applyProtection="1"/>
    <xf numFmtId="0" fontId="55" fillId="0" borderId="0" xfId="188" applyFont="1" applyFill="1" applyAlignment="1" applyProtection="1">
      <alignment horizontal="right"/>
    </xf>
    <xf numFmtId="172" fontId="55" fillId="0" borderId="0" xfId="0" applyFont="1" applyFill="1" applyAlignment="1" applyProtection="1"/>
    <xf numFmtId="0" fontId="55" fillId="0" borderId="0" xfId="211" applyNumberFormat="1" applyFont="1" applyFill="1" applyAlignment="1" applyProtection="1"/>
    <xf numFmtId="172" fontId="55" fillId="0" borderId="0" xfId="211" applyNumberFormat="1" applyFont="1" applyFill="1" applyAlignment="1" applyProtection="1"/>
    <xf numFmtId="0" fontId="55" fillId="0" borderId="0" xfId="211" applyNumberFormat="1" applyFont="1" applyFill="1" applyAlignment="1" applyProtection="1">
      <alignment horizontal="center"/>
    </xf>
    <xf numFmtId="0" fontId="55" fillId="0" borderId="0" xfId="211" applyNumberFormat="1" applyFont="1" applyFill="1" applyProtection="1"/>
    <xf numFmtId="0" fontId="55" fillId="17" borderId="0" xfId="201" applyNumberFormat="1" applyFont="1" applyFill="1" applyAlignment="1" applyProtection="1">
      <alignment horizontal="right"/>
    </xf>
    <xf numFmtId="3" fontId="55" fillId="0" borderId="0" xfId="211" applyNumberFormat="1" applyFont="1" applyFill="1" applyAlignment="1" applyProtection="1">
      <alignment horizontal="center"/>
    </xf>
    <xf numFmtId="0" fontId="90" fillId="0" borderId="0" xfId="211" applyNumberFormat="1" applyFont="1" applyFill="1" applyProtection="1"/>
    <xf numFmtId="172" fontId="96" fillId="0" borderId="0" xfId="0" applyFont="1" applyFill="1" applyAlignment="1" applyProtection="1">
      <alignment horizontal="center" vertical="center"/>
    </xf>
    <xf numFmtId="49" fontId="55" fillId="0" borderId="0" xfId="211" applyNumberFormat="1" applyFont="1" applyFill="1" applyAlignment="1" applyProtection="1"/>
    <xf numFmtId="49" fontId="55" fillId="0" borderId="0" xfId="211" applyNumberFormat="1" applyFont="1" applyFill="1" applyAlignment="1" applyProtection="1">
      <alignment horizontal="center"/>
    </xf>
    <xf numFmtId="173" fontId="55" fillId="0" borderId="0" xfId="59" applyNumberFormat="1" applyFont="1" applyFill="1" applyProtection="1"/>
    <xf numFmtId="173" fontId="55" fillId="0" borderId="0" xfId="59" applyNumberFormat="1" applyFont="1" applyFill="1" applyAlignment="1" applyProtection="1">
      <alignment horizontal="center"/>
    </xf>
    <xf numFmtId="49" fontId="55" fillId="0" borderId="0" xfId="211" applyNumberFormat="1" applyFont="1" applyFill="1" applyProtection="1"/>
    <xf numFmtId="0" fontId="55" fillId="0" borderId="8" xfId="211" applyNumberFormat="1" applyFont="1" applyFill="1" applyBorder="1" applyAlignment="1" applyProtection="1">
      <alignment horizontal="center"/>
    </xf>
    <xf numFmtId="173" fontId="55" fillId="0" borderId="8" xfId="59" applyNumberFormat="1" applyFont="1" applyFill="1" applyBorder="1" applyAlignment="1" applyProtection="1">
      <alignment horizontal="center"/>
    </xf>
    <xf numFmtId="3" fontId="55" fillId="0" borderId="0" xfId="211" applyNumberFormat="1" applyFont="1" applyFill="1" applyProtection="1"/>
    <xf numFmtId="43" fontId="55" fillId="0" borderId="0" xfId="59" applyNumberFormat="1" applyFont="1" applyFill="1" applyProtection="1"/>
    <xf numFmtId="173" fontId="55" fillId="0" borderId="0" xfId="59" applyNumberFormat="1" applyFont="1" applyFill="1" applyAlignment="1" applyProtection="1"/>
    <xf numFmtId="0" fontId="55" fillId="0" borderId="8" xfId="211" applyNumberFormat="1" applyFont="1" applyFill="1" applyBorder="1" applyAlignment="1" applyProtection="1">
      <alignment horizontal="centerContinuous"/>
    </xf>
    <xf numFmtId="43" fontId="55" fillId="0" borderId="0" xfId="59" applyFont="1" applyFill="1" applyAlignment="1" applyProtection="1"/>
    <xf numFmtId="10" fontId="55" fillId="0" borderId="0" xfId="266" applyNumberFormat="1" applyFont="1" applyFill="1" applyAlignment="1" applyProtection="1"/>
    <xf numFmtId="3" fontId="55" fillId="0" borderId="0" xfId="188" applyNumberFormat="1" applyFont="1" applyFill="1" applyAlignment="1" applyProtection="1"/>
    <xf numFmtId="3" fontId="55" fillId="0" borderId="0" xfId="211" applyNumberFormat="1" applyFont="1" applyFill="1" applyBorder="1" applyProtection="1"/>
    <xf numFmtId="3" fontId="55" fillId="0" borderId="0" xfId="211" applyNumberFormat="1" applyFont="1" applyFill="1" applyAlignment="1" applyProtection="1">
      <alignment horizontal="left"/>
    </xf>
    <xf numFmtId="173" fontId="55" fillId="0" borderId="8" xfId="59" applyNumberFormat="1" applyFont="1" applyFill="1" applyBorder="1" applyAlignment="1" applyProtection="1"/>
    <xf numFmtId="3" fontId="55" fillId="0" borderId="0" xfId="211" applyNumberFormat="1" applyFont="1" applyFill="1" applyAlignment="1" applyProtection="1">
      <alignment horizontal="fill"/>
    </xf>
    <xf numFmtId="173" fontId="55" fillId="0" borderId="18" xfId="59" applyNumberFormat="1" applyFont="1" applyFill="1" applyBorder="1" applyAlignment="1" applyProtection="1">
      <alignment horizontal="right"/>
    </xf>
    <xf numFmtId="43" fontId="55" fillId="0" borderId="0" xfId="211" applyNumberFormat="1" applyFont="1" applyFill="1" applyProtection="1"/>
    <xf numFmtId="0" fontId="55" fillId="0" borderId="0" xfId="206" applyNumberFormat="1" applyFont="1" applyFill="1" applyBorder="1" applyProtection="1"/>
    <xf numFmtId="3" fontId="55" fillId="0" borderId="0" xfId="211" applyNumberFormat="1" applyFont="1" applyFill="1" applyBorder="1" applyAlignment="1" applyProtection="1">
      <alignment horizontal="fill"/>
    </xf>
    <xf numFmtId="3" fontId="55" fillId="0" borderId="0" xfId="211" applyNumberFormat="1" applyFont="1" applyFill="1" applyBorder="1" applyAlignment="1" applyProtection="1"/>
    <xf numFmtId="173" fontId="55" fillId="0" borderId="0" xfId="59" applyNumberFormat="1" applyFont="1" applyFill="1" applyBorder="1" applyAlignment="1" applyProtection="1"/>
    <xf numFmtId="0" fontId="55" fillId="0" borderId="0" xfId="211" applyNumberFormat="1" applyFont="1" applyFill="1" applyBorder="1" applyProtection="1"/>
    <xf numFmtId="0" fontId="55" fillId="0" borderId="0" xfId="206" applyNumberFormat="1" applyFont="1" applyFill="1" applyAlignment="1" applyProtection="1"/>
    <xf numFmtId="173" fontId="55" fillId="0" borderId="0" xfId="59" applyNumberFormat="1" applyFont="1" applyFill="1" applyBorder="1" applyProtection="1"/>
    <xf numFmtId="0" fontId="55" fillId="0" borderId="0" xfId="206" applyNumberFormat="1" applyFont="1" applyFill="1" applyAlignment="1" applyProtection="1">
      <alignment horizontal="center"/>
    </xf>
    <xf numFmtId="0" fontId="55" fillId="0" borderId="0" xfId="206" applyNumberFormat="1" applyFont="1" applyFill="1" applyBorder="1" applyAlignment="1" applyProtection="1">
      <alignment horizontal="left"/>
    </xf>
    <xf numFmtId="43" fontId="55" fillId="0" borderId="0" xfId="59" applyFont="1" applyFill="1" applyBorder="1" applyAlignment="1" applyProtection="1"/>
    <xf numFmtId="0" fontId="55" fillId="0" borderId="0" xfId="206" applyNumberFormat="1" applyFont="1" applyFill="1" applyBorder="1" applyAlignment="1" applyProtection="1"/>
    <xf numFmtId="166" fontId="55" fillId="0" borderId="0" xfId="206" applyNumberFormat="1" applyFont="1" applyFill="1" applyBorder="1" applyAlignment="1" applyProtection="1"/>
    <xf numFmtId="172" fontId="55" fillId="0" borderId="0" xfId="0" applyFont="1" applyFill="1" applyBorder="1" applyAlignment="1" applyProtection="1"/>
    <xf numFmtId="0" fontId="55" fillId="0" borderId="0" xfId="206" applyFont="1" applyFill="1" applyBorder="1" applyAlignment="1" applyProtection="1"/>
    <xf numFmtId="173" fontId="55" fillId="0" borderId="0" xfId="211" applyNumberFormat="1" applyFont="1" applyFill="1" applyBorder="1" applyProtection="1"/>
    <xf numFmtId="3" fontId="55" fillId="0" borderId="0" xfId="206" applyNumberFormat="1" applyFont="1" applyFill="1" applyBorder="1" applyAlignment="1" applyProtection="1"/>
    <xf numFmtId="173" fontId="55" fillId="0" borderId="0" xfId="59" applyNumberFormat="1" applyFont="1" applyFill="1" applyBorder="1" applyAlignment="1" applyProtection="1">
      <alignment horizontal="right"/>
    </xf>
    <xf numFmtId="172" fontId="55" fillId="0" borderId="0" xfId="211" applyFont="1" applyFill="1" applyBorder="1" applyAlignment="1" applyProtection="1"/>
    <xf numFmtId="0" fontId="55" fillId="0" borderId="0" xfId="211" applyNumberFormat="1" applyFont="1" applyFill="1" applyBorder="1" applyAlignment="1" applyProtection="1">
      <alignment horizontal="center"/>
    </xf>
    <xf numFmtId="0" fontId="55" fillId="0" borderId="0" xfId="211" applyNumberFormat="1" applyFont="1" applyFill="1" applyBorder="1" applyAlignment="1" applyProtection="1"/>
    <xf numFmtId="171" fontId="55" fillId="0" borderId="0" xfId="211" applyNumberFormat="1" applyFont="1" applyFill="1" applyBorder="1" applyProtection="1"/>
    <xf numFmtId="171" fontId="55" fillId="0" borderId="0" xfId="211" applyNumberFormat="1" applyFont="1" applyFill="1" applyProtection="1"/>
    <xf numFmtId="169" fontId="55" fillId="0" borderId="0" xfId="211" applyNumberFormat="1" applyFont="1" applyFill="1" applyProtection="1"/>
    <xf numFmtId="278" fontId="55" fillId="0" borderId="0" xfId="211" applyNumberFormat="1" applyFont="1" applyFill="1" applyProtection="1"/>
    <xf numFmtId="168" fontId="55" fillId="0" borderId="0" xfId="211" applyNumberFormat="1" applyFont="1" applyFill="1" applyProtection="1"/>
    <xf numFmtId="0" fontId="55" fillId="0" borderId="0" xfId="211" applyNumberFormat="1" applyFont="1" applyFill="1" applyAlignment="1" applyProtection="1">
      <alignment horizontal="right"/>
    </xf>
    <xf numFmtId="3" fontId="62" fillId="0" borderId="0" xfId="211" applyNumberFormat="1" applyFont="1" applyFill="1" applyAlignment="1" applyProtection="1">
      <alignment horizontal="center"/>
    </xf>
    <xf numFmtId="0" fontId="62" fillId="0" borderId="0" xfId="211" applyNumberFormat="1" applyFont="1" applyFill="1" applyAlignment="1" applyProtection="1">
      <alignment horizontal="center"/>
    </xf>
    <xf numFmtId="172" fontId="62" fillId="0" borderId="0" xfId="211" applyFont="1" applyFill="1" applyAlignment="1" applyProtection="1">
      <alignment horizontal="center"/>
    </xf>
    <xf numFmtId="3" fontId="62" fillId="0" borderId="0" xfId="211" applyNumberFormat="1" applyFont="1" applyFill="1" applyAlignment="1" applyProtection="1"/>
    <xf numFmtId="0" fontId="62" fillId="0" borderId="0" xfId="211" applyNumberFormat="1" applyFont="1" applyFill="1" applyAlignment="1" applyProtection="1"/>
    <xf numFmtId="165" fontId="55" fillId="0" borderId="0" xfId="211" applyNumberFormat="1" applyFont="1" applyFill="1" applyAlignment="1" applyProtection="1"/>
    <xf numFmtId="10" fontId="55" fillId="0" borderId="0" xfId="266" applyNumberFormat="1" applyFont="1" applyFill="1" applyAlignment="1" applyProtection="1">
      <alignment horizontal="center"/>
    </xf>
    <xf numFmtId="164" fontId="55" fillId="0" borderId="0" xfId="211" applyNumberFormat="1" applyFont="1" applyFill="1" applyAlignment="1" applyProtection="1">
      <alignment horizontal="center"/>
    </xf>
    <xf numFmtId="10" fontId="55" fillId="0" borderId="0" xfId="266" applyNumberFormat="1" applyFont="1" applyFill="1" applyAlignment="1" applyProtection="1">
      <alignment horizontal="right"/>
    </xf>
    <xf numFmtId="0" fontId="55" fillId="0" borderId="0" xfId="206" applyFont="1" applyFill="1" applyAlignment="1" applyProtection="1"/>
    <xf numFmtId="3" fontId="55" fillId="0" borderId="0" xfId="206" applyNumberFormat="1" applyFont="1" applyFill="1" applyAlignment="1" applyProtection="1"/>
    <xf numFmtId="10" fontId="55" fillId="0" borderId="0" xfId="266" applyNumberFormat="1" applyFont="1" applyFill="1" applyBorder="1" applyAlignment="1" applyProtection="1"/>
    <xf numFmtId="172" fontId="55" fillId="0" borderId="0" xfId="0" applyFont="1" applyFill="1" applyProtection="1"/>
    <xf numFmtId="172" fontId="55" fillId="0" borderId="0" xfId="0" applyFont="1" applyFill="1" applyBorder="1" applyProtection="1"/>
    <xf numFmtId="3" fontId="55" fillId="0" borderId="0" xfId="211" quotePrefix="1" applyNumberFormat="1" applyFont="1" applyFill="1" applyAlignment="1" applyProtection="1">
      <alignment horizontal="left"/>
    </xf>
    <xf numFmtId="0" fontId="55" fillId="0" borderId="0" xfId="188" applyNumberFormat="1" applyFont="1" applyFill="1" applyProtection="1"/>
    <xf numFmtId="173" fontId="55" fillId="0" borderId="18" xfId="59" applyNumberFormat="1" applyFont="1" applyFill="1" applyBorder="1" applyAlignment="1" applyProtection="1"/>
    <xf numFmtId="164" fontId="55" fillId="0" borderId="0" xfId="188" applyNumberFormat="1" applyFont="1" applyFill="1" applyAlignment="1" applyProtection="1">
      <alignment horizontal="center"/>
    </xf>
    <xf numFmtId="0" fontId="45" fillId="0" borderId="0" xfId="0" applyNumberFormat="1" applyFont="1" applyFill="1" applyBorder="1" applyAlignment="1" applyProtection="1">
      <alignment horizontal="left"/>
    </xf>
    <xf numFmtId="172" fontId="45" fillId="0" borderId="0" xfId="0" applyFont="1" applyFill="1" applyProtection="1"/>
    <xf numFmtId="172" fontId="45" fillId="0" borderId="0" xfId="0" applyFont="1" applyFill="1" applyBorder="1" applyAlignment="1" applyProtection="1">
      <alignment horizontal="left"/>
    </xf>
    <xf numFmtId="3" fontId="45" fillId="0" borderId="0" xfId="0" applyNumberFormat="1" applyFont="1" applyFill="1" applyBorder="1" applyAlignment="1" applyProtection="1"/>
    <xf numFmtId="172" fontId="45" fillId="0" borderId="0" xfId="0" applyFont="1" applyFill="1" applyBorder="1" applyProtection="1"/>
    <xf numFmtId="3" fontId="45" fillId="0" borderId="0" xfId="0" applyNumberFormat="1" applyFont="1" applyFill="1" applyBorder="1" applyAlignment="1" applyProtection="1">
      <alignment horizontal="right"/>
    </xf>
    <xf numFmtId="3" fontId="55" fillId="0" borderId="0" xfId="188" applyNumberFormat="1" applyFont="1" applyFill="1" applyBorder="1" applyAlignment="1" applyProtection="1"/>
    <xf numFmtId="172" fontId="128" fillId="0" borderId="0" xfId="0" applyFont="1" applyFill="1" applyBorder="1" applyAlignment="1" applyProtection="1">
      <alignment horizontal="center"/>
    </xf>
    <xf numFmtId="3" fontId="55" fillId="0" borderId="0" xfId="211" applyNumberFormat="1" applyFont="1" applyFill="1" applyAlignment="1" applyProtection="1">
      <alignment horizontal="right"/>
    </xf>
    <xf numFmtId="172" fontId="45" fillId="0" borderId="0" xfId="0" applyFont="1" applyFill="1" applyAlignment="1" applyProtection="1">
      <alignment horizontal="center"/>
    </xf>
    <xf numFmtId="3" fontId="55" fillId="0" borderId="0" xfId="211" quotePrefix="1" applyNumberFormat="1" applyFont="1" applyFill="1" applyAlignment="1" applyProtection="1"/>
    <xf numFmtId="0" fontId="55" fillId="0" borderId="0" xfId="211" applyNumberFormat="1" applyFont="1" applyFill="1" applyAlignment="1" applyProtection="1">
      <alignment wrapText="1"/>
    </xf>
    <xf numFmtId="3" fontId="55" fillId="0" borderId="0" xfId="211" applyNumberFormat="1" applyFont="1" applyFill="1" applyAlignment="1" applyProtection="1">
      <alignment wrapText="1"/>
    </xf>
    <xf numFmtId="0" fontId="55" fillId="0" borderId="0" xfId="211" quotePrefix="1" applyNumberFormat="1" applyFont="1" applyFill="1" applyAlignment="1" applyProtection="1">
      <alignment horizontal="left"/>
    </xf>
    <xf numFmtId="0" fontId="55" fillId="0" borderId="0" xfId="211" applyNumberFormat="1" applyFont="1" applyFill="1" applyAlignment="1" applyProtection="1">
      <alignment horizontal="left" indent="2"/>
    </xf>
    <xf numFmtId="0" fontId="55" fillId="0" borderId="0" xfId="0" applyNumberFormat="1" applyFont="1" applyFill="1" applyAlignment="1" applyProtection="1">
      <alignment horizontal="left"/>
    </xf>
    <xf numFmtId="164" fontId="55" fillId="0" borderId="0" xfId="211" applyNumberFormat="1" applyFont="1" applyFill="1" applyAlignment="1" applyProtection="1">
      <alignment horizontal="left"/>
    </xf>
    <xf numFmtId="182" fontId="55" fillId="0" borderId="0" xfId="59" applyNumberFormat="1" applyFont="1" applyFill="1" applyAlignment="1" applyProtection="1">
      <alignment horizontal="right"/>
    </xf>
    <xf numFmtId="10" fontId="55" fillId="0" borderId="0" xfId="211" applyNumberFormat="1" applyFont="1" applyFill="1" applyAlignment="1" applyProtection="1">
      <alignment horizontal="left"/>
    </xf>
    <xf numFmtId="173" fontId="55" fillId="0" borderId="0" xfId="59" applyNumberFormat="1" applyFont="1" applyFill="1" applyAlignment="1" applyProtection="1">
      <alignment horizontal="right"/>
    </xf>
    <xf numFmtId="0" fontId="55" fillId="0" borderId="0" xfId="188" applyFont="1" applyFill="1" applyAlignment="1" applyProtection="1"/>
    <xf numFmtId="173" fontId="55" fillId="0" borderId="8" xfId="59" applyNumberFormat="1" applyFont="1" applyFill="1" applyBorder="1" applyAlignment="1" applyProtection="1">
      <alignment horizontal="right"/>
    </xf>
    <xf numFmtId="166" fontId="55" fillId="0" borderId="0" xfId="188" applyNumberFormat="1" applyFont="1" applyFill="1" applyAlignment="1" applyProtection="1"/>
    <xf numFmtId="167" fontId="55" fillId="0" borderId="0" xfId="211" applyNumberFormat="1" applyFont="1" applyFill="1" applyAlignment="1" applyProtection="1"/>
    <xf numFmtId="166" fontId="55" fillId="0" borderId="0" xfId="211" applyNumberFormat="1" applyFont="1" applyFill="1" applyAlignment="1" applyProtection="1"/>
    <xf numFmtId="166" fontId="55" fillId="0" borderId="0" xfId="188" applyNumberFormat="1" applyFont="1" applyFill="1" applyAlignment="1" applyProtection="1">
      <alignment horizontal="center"/>
    </xf>
    <xf numFmtId="173" fontId="55" fillId="0" borderId="14" xfId="59" applyNumberFormat="1" applyFont="1" applyFill="1" applyBorder="1" applyAlignment="1" applyProtection="1"/>
    <xf numFmtId="0" fontId="55" fillId="0" borderId="0" xfId="188" applyNumberFormat="1" applyFont="1" applyFill="1" applyAlignment="1" applyProtection="1"/>
    <xf numFmtId="172" fontId="55" fillId="0" borderId="0" xfId="211" applyFont="1" applyFill="1" applyAlignment="1" applyProtection="1">
      <alignment horizontal="center"/>
    </xf>
    <xf numFmtId="172" fontId="55" fillId="0" borderId="0" xfId="211" applyFont="1" applyFill="1" applyAlignment="1" applyProtection="1">
      <alignment horizontal="right"/>
    </xf>
    <xf numFmtId="0" fontId="85" fillId="0" borderId="0" xfId="211" applyNumberFormat="1" applyFont="1" applyFill="1" applyAlignment="1" applyProtection="1">
      <alignment horizontal="center"/>
    </xf>
    <xf numFmtId="3" fontId="85" fillId="0" borderId="0" xfId="211" applyNumberFormat="1" applyFont="1" applyFill="1" applyAlignment="1" applyProtection="1"/>
    <xf numFmtId="172" fontId="85" fillId="0" borderId="0" xfId="0" applyFont="1" applyFill="1" applyAlignment="1" applyProtection="1"/>
    <xf numFmtId="0" fontId="55" fillId="0" borderId="8" xfId="211" applyNumberFormat="1" applyFont="1" applyFill="1" applyBorder="1" applyProtection="1"/>
    <xf numFmtId="3" fontId="55" fillId="0" borderId="8" xfId="211" applyNumberFormat="1" applyFont="1" applyFill="1" applyBorder="1" applyAlignment="1" applyProtection="1"/>
    <xf numFmtId="3" fontId="55" fillId="0" borderId="8" xfId="211" applyNumberFormat="1" applyFont="1" applyFill="1" applyBorder="1" applyAlignment="1" applyProtection="1">
      <alignment horizontal="center"/>
    </xf>
    <xf numFmtId="170" fontId="55" fillId="0" borderId="0" xfId="266" applyNumberFormat="1" applyFont="1" applyFill="1" applyAlignment="1" applyProtection="1"/>
    <xf numFmtId="4" fontId="55" fillId="0" borderId="0" xfId="211" applyNumberFormat="1" applyFont="1" applyFill="1" applyAlignment="1" applyProtection="1"/>
    <xf numFmtId="3" fontId="55" fillId="0" borderId="0" xfId="188" applyNumberFormat="1" applyFont="1" applyFill="1" applyBorder="1" applyAlignment="1" applyProtection="1">
      <alignment horizontal="center"/>
    </xf>
    <xf numFmtId="0" fontId="55" fillId="0" borderId="8" xfId="188" applyNumberFormat="1" applyFont="1" applyFill="1" applyBorder="1" applyAlignment="1" applyProtection="1">
      <alignment horizontal="center"/>
    </xf>
    <xf numFmtId="0" fontId="55" fillId="0" borderId="0" xfId="188" applyNumberFormat="1" applyFont="1" applyFill="1" applyAlignment="1" applyProtection="1">
      <alignment horizontal="center"/>
    </xf>
    <xf numFmtId="10" fontId="55" fillId="0" borderId="8" xfId="266" applyNumberFormat="1" applyFont="1" applyFill="1" applyBorder="1" applyAlignment="1" applyProtection="1">
      <alignment horizontal="center"/>
    </xf>
    <xf numFmtId="168" fontId="55" fillId="0" borderId="0" xfId="211" applyNumberFormat="1" applyFont="1" applyFill="1" applyAlignment="1" applyProtection="1"/>
    <xf numFmtId="169" fontId="55" fillId="0" borderId="0" xfId="211" applyNumberFormat="1" applyFont="1" applyFill="1" applyAlignment="1" applyProtection="1">
      <alignment horizontal="right"/>
    </xf>
    <xf numFmtId="3" fontId="55" fillId="0" borderId="0" xfId="211" applyNumberFormat="1" applyFont="1" applyFill="1" applyAlignment="1" applyProtection="1">
      <alignment vertical="top" wrapText="1"/>
    </xf>
    <xf numFmtId="0" fontId="55" fillId="0" borderId="0" xfId="211" applyNumberFormat="1" applyFont="1" applyFill="1" applyAlignment="1" applyProtection="1">
      <alignment vertical="top" wrapText="1"/>
    </xf>
    <xf numFmtId="0" fontId="55" fillId="0" borderId="0" xfId="211" applyNumberFormat="1" applyFont="1" applyFill="1" applyAlignment="1" applyProtection="1">
      <alignment vertical="top"/>
    </xf>
    <xf numFmtId="10" fontId="55" fillId="0" borderId="0" xfId="266" applyNumberFormat="1" applyFont="1" applyFill="1" applyAlignment="1" applyProtection="1">
      <alignment vertical="top"/>
    </xf>
    <xf numFmtId="43" fontId="55" fillId="0" borderId="0" xfId="59" applyFont="1" applyFill="1" applyAlignment="1" applyProtection="1">
      <alignment vertical="top"/>
    </xf>
    <xf numFmtId="0" fontId="55" fillId="0" borderId="0" xfId="188" quotePrefix="1" applyNumberFormat="1" applyFont="1" applyFill="1" applyAlignment="1" applyProtection="1">
      <alignment vertical="top" wrapText="1"/>
    </xf>
    <xf numFmtId="0" fontId="55" fillId="0" borderId="0" xfId="188" applyNumberFormat="1" applyFont="1" applyFill="1" applyAlignment="1" applyProtection="1">
      <alignment vertical="top" wrapText="1"/>
    </xf>
    <xf numFmtId="0" fontId="55" fillId="0" borderId="0" xfId="188" applyNumberFormat="1" applyFont="1" applyFill="1" applyAlignment="1" applyProtection="1">
      <alignment vertical="top"/>
    </xf>
    <xf numFmtId="172" fontId="55" fillId="0" borderId="0" xfId="0" applyFont="1" applyFill="1" applyAlignment="1" applyProtection="1">
      <alignment vertical="top"/>
    </xf>
    <xf numFmtId="0" fontId="55" fillId="0" borderId="0" xfId="388" applyFont="1" applyFill="1" applyAlignment="1" applyProtection="1">
      <alignment vertical="center"/>
    </xf>
    <xf numFmtId="172" fontId="55" fillId="0" borderId="0" xfId="201" applyFont="1" applyFill="1" applyBorder="1" applyAlignment="1" applyProtection="1"/>
    <xf numFmtId="172" fontId="55" fillId="0" borderId="0" xfId="201" applyFont="1" applyFill="1" applyBorder="1" applyAlignment="1" applyProtection="1">
      <alignment horizontal="right"/>
    </xf>
    <xf numFmtId="0" fontId="55" fillId="0" borderId="0" xfId="201" applyNumberFormat="1" applyFont="1" applyFill="1" applyBorder="1" applyAlignment="1" applyProtection="1"/>
    <xf numFmtId="0" fontId="55" fillId="0" borderId="0" xfId="201" applyNumberFormat="1" applyFont="1" applyFill="1" applyBorder="1" applyAlignment="1" applyProtection="1">
      <alignment horizontal="center"/>
    </xf>
    <xf numFmtId="0" fontId="55" fillId="0" borderId="0" xfId="201" applyNumberFormat="1" applyFont="1" applyFill="1" applyBorder="1" applyProtection="1"/>
    <xf numFmtId="0" fontId="55" fillId="0" borderId="0" xfId="201" applyNumberFormat="1" applyFont="1" applyFill="1" applyAlignment="1" applyProtection="1">
      <alignment horizontal="right"/>
    </xf>
    <xf numFmtId="173" fontId="87" fillId="0" borderId="0" xfId="59" applyNumberFormat="1" applyFont="1" applyFill="1" applyBorder="1" applyProtection="1"/>
    <xf numFmtId="3" fontId="55" fillId="0" borderId="0" xfId="201" applyNumberFormat="1" applyFont="1" applyFill="1" applyBorder="1" applyAlignment="1" applyProtection="1"/>
    <xf numFmtId="0" fontId="87" fillId="0" borderId="0" xfId="201" applyNumberFormat="1" applyFont="1" applyFill="1" applyBorder="1" applyAlignment="1" applyProtection="1">
      <alignment horizontal="center"/>
    </xf>
    <xf numFmtId="0" fontId="87" fillId="0" borderId="0" xfId="201" applyNumberFormat="1" applyFont="1" applyFill="1" applyBorder="1" applyProtection="1"/>
    <xf numFmtId="49" fontId="55" fillId="0" borderId="0" xfId="201" applyNumberFormat="1" applyFont="1" applyFill="1" applyBorder="1" applyProtection="1"/>
    <xf numFmtId="3" fontId="55" fillId="0" borderId="0" xfId="201" applyNumberFormat="1" applyFont="1" applyFill="1" applyBorder="1" applyProtection="1"/>
    <xf numFmtId="49" fontId="55" fillId="0" borderId="0" xfId="201" applyNumberFormat="1" applyFont="1" applyFill="1" applyBorder="1" applyAlignment="1" applyProtection="1">
      <alignment horizontal="center"/>
    </xf>
    <xf numFmtId="3" fontId="62" fillId="0" borderId="0" xfId="201" applyNumberFormat="1" applyFont="1" applyFill="1" applyBorder="1" applyAlignment="1" applyProtection="1">
      <alignment horizontal="center"/>
    </xf>
    <xf numFmtId="173" fontId="55" fillId="0" borderId="0" xfId="59" applyNumberFormat="1" applyFont="1" applyFill="1" applyBorder="1" applyAlignment="1" applyProtection="1">
      <alignment horizontal="center"/>
    </xf>
    <xf numFmtId="172" fontId="62" fillId="0" borderId="0" xfId="201" applyFont="1" applyFill="1" applyBorder="1" applyAlignment="1" applyProtection="1">
      <alignment horizontal="center"/>
    </xf>
    <xf numFmtId="0" fontId="62" fillId="0" borderId="0" xfId="201" applyNumberFormat="1" applyFont="1" applyFill="1" applyBorder="1" applyAlignment="1" applyProtection="1">
      <alignment horizontal="center"/>
    </xf>
    <xf numFmtId="0" fontId="62" fillId="0" borderId="0" xfId="201" applyNumberFormat="1" applyFont="1" applyFill="1" applyBorder="1" applyAlignment="1" applyProtection="1"/>
    <xf numFmtId="0" fontId="88" fillId="0" borderId="0" xfId="201" applyNumberFormat="1" applyFont="1" applyFill="1" applyBorder="1" applyAlignment="1" applyProtection="1">
      <alignment horizontal="center"/>
    </xf>
    <xf numFmtId="3" fontId="55" fillId="0" borderId="0" xfId="201" applyNumberFormat="1" applyFont="1" applyFill="1" applyBorder="1" applyAlignment="1" applyProtection="1">
      <alignment horizontal="center"/>
    </xf>
    <xf numFmtId="3" fontId="55" fillId="0" borderId="0" xfId="201" applyNumberFormat="1" applyFont="1" applyFill="1" applyBorder="1" applyAlignment="1" applyProtection="1">
      <alignment horizontal="left"/>
    </xf>
    <xf numFmtId="43" fontId="55" fillId="0" borderId="0" xfId="59" applyNumberFormat="1" applyFont="1" applyFill="1" applyBorder="1" applyAlignment="1" applyProtection="1"/>
    <xf numFmtId="43" fontId="76" fillId="0" borderId="0" xfId="59" applyNumberFormat="1" applyFont="1" applyFill="1" applyBorder="1" applyAlignment="1" applyProtection="1"/>
    <xf numFmtId="10" fontId="76" fillId="0" borderId="0" xfId="266" applyNumberFormat="1" applyFont="1" applyFill="1" applyBorder="1" applyAlignment="1" applyProtection="1"/>
    <xf numFmtId="10" fontId="62" fillId="0" borderId="0" xfId="201" applyNumberFormat="1" applyFont="1" applyFill="1" applyBorder="1" applyAlignment="1" applyProtection="1"/>
    <xf numFmtId="3" fontId="62" fillId="0" borderId="0" xfId="201" applyNumberFormat="1" applyFont="1" applyFill="1" applyBorder="1" applyAlignment="1" applyProtection="1"/>
    <xf numFmtId="165" fontId="62" fillId="0" borderId="0" xfId="201" applyNumberFormat="1" applyFont="1" applyFill="1" applyBorder="1" applyAlignment="1" applyProtection="1"/>
    <xf numFmtId="10" fontId="55" fillId="0" borderId="0" xfId="201" applyNumberFormat="1" applyFont="1" applyFill="1" applyBorder="1" applyAlignment="1" applyProtection="1"/>
    <xf numFmtId="172" fontId="55" fillId="0" borderId="0" xfId="201" applyFont="1" applyFill="1" applyBorder="1" applyAlignment="1" applyProtection="1">
      <alignment horizontal="left"/>
    </xf>
    <xf numFmtId="172" fontId="55" fillId="0" borderId="0" xfId="201" applyFont="1" applyFill="1" applyBorder="1" applyAlignment="1" applyProtection="1">
      <alignment horizontal="center"/>
    </xf>
    <xf numFmtId="43" fontId="55" fillId="0" borderId="0" xfId="59" applyFont="1" applyFill="1" applyBorder="1" applyAlignment="1" applyProtection="1">
      <alignment horizontal="center"/>
    </xf>
    <xf numFmtId="49" fontId="62" fillId="0" borderId="0" xfId="201" applyNumberFormat="1" applyFont="1" applyFill="1" applyBorder="1" applyAlignment="1" applyProtection="1">
      <alignment horizontal="center"/>
    </xf>
    <xf numFmtId="172" fontId="62" fillId="0" borderId="0" xfId="201" applyFont="1" applyFill="1" applyBorder="1" applyAlignment="1" applyProtection="1"/>
    <xf numFmtId="3" fontId="62" fillId="0" borderId="0" xfId="201" applyNumberFormat="1" applyFont="1" applyFill="1" applyBorder="1" applyAlignment="1" applyProtection="1">
      <alignment horizontal="left"/>
    </xf>
    <xf numFmtId="43" fontId="62" fillId="0" borderId="0" xfId="59" applyNumberFormat="1" applyFont="1" applyFill="1" applyBorder="1" applyAlignment="1" applyProtection="1"/>
    <xf numFmtId="10" fontId="62" fillId="0" borderId="0" xfId="266" applyNumberFormat="1" applyFont="1" applyFill="1" applyBorder="1" applyAlignment="1" applyProtection="1"/>
    <xf numFmtId="0" fontId="55" fillId="0" borderId="0" xfId="201" applyNumberFormat="1" applyFont="1" applyFill="1" applyBorder="1" applyAlignment="1" applyProtection="1">
      <alignment horizontal="fill"/>
    </xf>
    <xf numFmtId="172" fontId="86" fillId="0" borderId="0" xfId="201" applyFont="1" applyFill="1" applyBorder="1" applyAlignment="1" applyProtection="1"/>
    <xf numFmtId="3" fontId="86" fillId="0" borderId="0" xfId="201" applyNumberFormat="1" applyFont="1" applyFill="1" applyBorder="1" applyAlignment="1" applyProtection="1"/>
    <xf numFmtId="164" fontId="55" fillId="0" borderId="0" xfId="201" applyNumberFormat="1" applyFont="1" applyFill="1" applyBorder="1" applyAlignment="1" applyProtection="1">
      <alignment horizontal="left"/>
    </xf>
    <xf numFmtId="164" fontId="55" fillId="0" borderId="0" xfId="201" applyNumberFormat="1" applyFont="1" applyFill="1" applyBorder="1" applyAlignment="1" applyProtection="1">
      <alignment horizontal="center"/>
    </xf>
    <xf numFmtId="169" fontId="55" fillId="0" borderId="0" xfId="201" applyNumberFormat="1" applyFont="1" applyFill="1" applyBorder="1" applyAlignment="1" applyProtection="1"/>
    <xf numFmtId="0" fontId="86" fillId="0" borderId="0" xfId="201" applyNumberFormat="1" applyFont="1" applyFill="1" applyBorder="1" applyProtection="1"/>
    <xf numFmtId="49" fontId="55" fillId="0" borderId="0" xfId="201" applyNumberFormat="1" applyFont="1" applyFill="1" applyBorder="1" applyAlignment="1" applyProtection="1">
      <alignment horizontal="left"/>
    </xf>
    <xf numFmtId="0" fontId="55" fillId="0" borderId="0" xfId="201" applyNumberFormat="1" applyFont="1" applyFill="1" applyBorder="1" applyAlignment="1" applyProtection="1">
      <alignment horizontal="right"/>
    </xf>
    <xf numFmtId="175" fontId="62" fillId="0" borderId="0" xfId="201" applyNumberFormat="1" applyFont="1" applyFill="1" applyBorder="1" applyAlignment="1" applyProtection="1">
      <alignment horizontal="center"/>
    </xf>
    <xf numFmtId="175" fontId="62" fillId="0" borderId="0" xfId="201" quotePrefix="1" applyNumberFormat="1" applyFont="1" applyFill="1" applyBorder="1" applyAlignment="1" applyProtection="1">
      <alignment horizontal="center"/>
    </xf>
    <xf numFmtId="172" fontId="62" fillId="0" borderId="16" xfId="201" applyFont="1" applyFill="1" applyBorder="1" applyAlignment="1" applyProtection="1">
      <alignment horizontal="center" wrapText="1"/>
    </xf>
    <xf numFmtId="172" fontId="62" fillId="0" borderId="7" xfId="201" applyFont="1" applyFill="1" applyBorder="1" applyAlignment="1" applyProtection="1"/>
    <xf numFmtId="172" fontId="62" fillId="0" borderId="3" xfId="201" applyFont="1" applyFill="1" applyBorder="1" applyAlignment="1" applyProtection="1"/>
    <xf numFmtId="172" fontId="62" fillId="0" borderId="7" xfId="201" applyFont="1" applyFill="1" applyBorder="1" applyAlignment="1" applyProtection="1">
      <alignment horizontal="center" wrapText="1"/>
    </xf>
    <xf numFmtId="0" fontId="62" fillId="0" borderId="7" xfId="201" applyNumberFormat="1" applyFont="1" applyFill="1" applyBorder="1" applyAlignment="1" applyProtection="1">
      <alignment horizontal="center" wrapText="1"/>
    </xf>
    <xf numFmtId="172" fontId="62" fillId="0" borderId="9" xfId="201" applyFont="1" applyFill="1" applyBorder="1" applyAlignment="1" applyProtection="1">
      <alignment horizontal="center" wrapText="1"/>
    </xf>
    <xf numFmtId="3" fontId="62" fillId="0" borderId="9" xfId="201" applyNumberFormat="1" applyFont="1" applyFill="1" applyBorder="1" applyAlignment="1" applyProtection="1">
      <alignment horizontal="center" wrapText="1"/>
    </xf>
    <xf numFmtId="0" fontId="55" fillId="0" borderId="16" xfId="201" applyNumberFormat="1" applyFont="1" applyFill="1" applyBorder="1" applyProtection="1"/>
    <xf numFmtId="0" fontId="55" fillId="0" borderId="7" xfId="201" applyNumberFormat="1" applyFont="1" applyFill="1" applyBorder="1" applyProtection="1"/>
    <xf numFmtId="0" fontId="55" fillId="0" borderId="7" xfId="201" applyNumberFormat="1" applyFont="1" applyFill="1" applyBorder="1" applyAlignment="1" applyProtection="1">
      <alignment horizontal="center"/>
    </xf>
    <xf numFmtId="0" fontId="55" fillId="0" borderId="9" xfId="201" applyNumberFormat="1" applyFont="1" applyFill="1" applyBorder="1" applyAlignment="1" applyProtection="1">
      <alignment horizontal="center"/>
    </xf>
    <xf numFmtId="0" fontId="55" fillId="0" borderId="9" xfId="201" applyNumberFormat="1" applyFont="1" applyFill="1" applyBorder="1" applyAlignment="1" applyProtection="1">
      <alignment horizontal="center" wrapText="1"/>
    </xf>
    <xf numFmtId="3" fontId="55" fillId="0" borderId="9" xfId="201" applyNumberFormat="1" applyFont="1" applyFill="1" applyBorder="1" applyAlignment="1" applyProtection="1">
      <alignment horizontal="center" wrapText="1"/>
    </xf>
    <xf numFmtId="0" fontId="55" fillId="0" borderId="7" xfId="201" applyNumberFormat="1" applyFont="1" applyFill="1" applyBorder="1" applyAlignment="1" applyProtection="1">
      <alignment horizontal="center" wrapText="1"/>
    </xf>
    <xf numFmtId="3" fontId="55" fillId="0" borderId="9" xfId="201" applyNumberFormat="1" applyFont="1" applyFill="1" applyBorder="1" applyAlignment="1" applyProtection="1">
      <alignment horizontal="center"/>
    </xf>
    <xf numFmtId="0" fontId="55" fillId="0" borderId="10" xfId="201" applyNumberFormat="1" applyFont="1" applyFill="1" applyBorder="1" applyProtection="1"/>
    <xf numFmtId="0" fontId="55" fillId="0" borderId="11" xfId="201" applyNumberFormat="1" applyFont="1" applyFill="1" applyBorder="1" applyProtection="1"/>
    <xf numFmtId="0" fontId="55" fillId="0" borderId="19" xfId="201" applyNumberFormat="1" applyFont="1" applyFill="1" applyBorder="1" applyProtection="1"/>
    <xf numFmtId="0" fontId="55" fillId="0" borderId="22" xfId="201" applyNumberFormat="1" applyFont="1" applyFill="1" applyBorder="1" applyProtection="1"/>
    <xf numFmtId="3" fontId="55" fillId="0" borderId="11" xfId="201" applyNumberFormat="1" applyFont="1" applyFill="1" applyBorder="1" applyAlignment="1" applyProtection="1"/>
    <xf numFmtId="172" fontId="55" fillId="0" borderId="10" xfId="209" applyFont="1" applyFill="1" applyBorder="1" applyAlignment="1" applyProtection="1"/>
    <xf numFmtId="172" fontId="55" fillId="0" borderId="0" xfId="209" applyFont="1" applyFill="1" applyBorder="1" applyAlignment="1" applyProtection="1"/>
    <xf numFmtId="0" fontId="55" fillId="0" borderId="0" xfId="59" applyNumberFormat="1" applyFont="1" applyFill="1" applyBorder="1" applyAlignment="1" applyProtection="1"/>
    <xf numFmtId="174" fontId="55" fillId="0" borderId="0" xfId="93" applyNumberFormat="1" applyFont="1" applyFill="1" applyBorder="1" applyAlignment="1" applyProtection="1"/>
    <xf numFmtId="43" fontId="55" fillId="0" borderId="11" xfId="59" applyFont="1" applyFill="1" applyBorder="1" applyAlignment="1" applyProtection="1"/>
    <xf numFmtId="173" fontId="55" fillId="0" borderId="11" xfId="59" applyNumberFormat="1" applyFont="1" applyFill="1" applyBorder="1" applyAlignment="1" applyProtection="1"/>
    <xf numFmtId="173" fontId="55" fillId="0" borderId="10" xfId="59" applyNumberFormat="1" applyFont="1" applyFill="1" applyBorder="1" applyAlignment="1" applyProtection="1"/>
    <xf numFmtId="173" fontId="55" fillId="16" borderId="11" xfId="59" applyNumberFormat="1" applyFont="1" applyFill="1" applyBorder="1" applyAlignment="1" applyProtection="1"/>
    <xf numFmtId="172" fontId="55" fillId="0" borderId="10" xfId="201" applyFont="1" applyFill="1" applyBorder="1" applyAlignment="1" applyProtection="1"/>
    <xf numFmtId="172" fontId="55" fillId="0" borderId="17" xfId="201" applyFont="1" applyFill="1" applyBorder="1" applyAlignment="1" applyProtection="1"/>
    <xf numFmtId="172" fontId="55" fillId="0" borderId="1" xfId="201" applyFont="1" applyFill="1" applyBorder="1" applyAlignment="1" applyProtection="1"/>
    <xf numFmtId="172" fontId="55" fillId="0" borderId="15" xfId="201" applyFont="1" applyFill="1" applyBorder="1" applyAlignment="1" applyProtection="1"/>
    <xf numFmtId="173" fontId="55" fillId="0" borderId="15" xfId="59" applyNumberFormat="1" applyFont="1" applyFill="1" applyBorder="1" applyAlignment="1" applyProtection="1"/>
    <xf numFmtId="173" fontId="84" fillId="0" borderId="15" xfId="59" applyNumberFormat="1" applyFont="1" applyFill="1" applyBorder="1" applyAlignment="1" applyProtection="1"/>
    <xf numFmtId="1" fontId="55" fillId="0" borderId="0" xfId="59" applyNumberFormat="1" applyFont="1" applyFill="1" applyBorder="1" applyAlignment="1" applyProtection="1">
      <alignment horizontal="center"/>
    </xf>
    <xf numFmtId="172" fontId="55" fillId="0" borderId="8" xfId="201" applyFont="1" applyFill="1" applyBorder="1" applyAlignment="1" applyProtection="1"/>
    <xf numFmtId="172" fontId="55" fillId="0" borderId="0" xfId="201" applyFont="1" applyFill="1" applyBorder="1" applyAlignment="1" applyProtection="1">
      <alignment horizontal="center" vertical="top"/>
    </xf>
    <xf numFmtId="172" fontId="101" fillId="0" borderId="0" xfId="201" applyFont="1" applyFill="1" applyBorder="1" applyAlignment="1" applyProtection="1"/>
    <xf numFmtId="173" fontId="45" fillId="0" borderId="0" xfId="59" applyNumberFormat="1" applyFont="1" applyAlignment="1" applyProtection="1"/>
    <xf numFmtId="0" fontId="45" fillId="0" borderId="0" xfId="201" applyNumberFormat="1" applyFont="1" applyFill="1" applyBorder="1" applyAlignment="1" applyProtection="1"/>
    <xf numFmtId="0" fontId="45" fillId="0" borderId="0" xfId="201" applyNumberFormat="1" applyFont="1" applyFill="1" applyBorder="1" applyAlignment="1" applyProtection="1">
      <alignment horizontal="center"/>
    </xf>
    <xf numFmtId="0" fontId="45" fillId="0" borderId="0" xfId="201" applyNumberFormat="1" applyFont="1" applyFill="1" applyAlignment="1" applyProtection="1">
      <alignment horizontal="right"/>
    </xf>
    <xf numFmtId="3" fontId="45" fillId="0" borderId="0" xfId="201" applyNumberFormat="1" applyFont="1" applyFill="1" applyBorder="1" applyAlignment="1" applyProtection="1"/>
    <xf numFmtId="0" fontId="45" fillId="0" borderId="0" xfId="201" applyNumberFormat="1" applyFont="1" applyFill="1" applyBorder="1" applyProtection="1"/>
    <xf numFmtId="172" fontId="45" fillId="0" borderId="0" xfId="201" applyFont="1" applyFill="1" applyBorder="1" applyAlignment="1" applyProtection="1"/>
    <xf numFmtId="173" fontId="45" fillId="0" borderId="0" xfId="59" applyNumberFormat="1" applyFont="1" applyFill="1" applyAlignment="1" applyProtection="1"/>
    <xf numFmtId="0" fontId="45" fillId="0" borderId="0" xfId="211" applyNumberFormat="1" applyFont="1" applyFill="1" applyAlignment="1" applyProtection="1">
      <alignment horizontal="center"/>
    </xf>
    <xf numFmtId="169" fontId="45" fillId="0" borderId="0" xfId="0" applyNumberFormat="1" applyFont="1" applyAlignment="1" applyProtection="1"/>
    <xf numFmtId="173" fontId="45" fillId="0" borderId="0" xfId="59" applyNumberFormat="1" applyFont="1" applyAlignment="1" applyProtection="1">
      <alignment horizontal="center"/>
    </xf>
    <xf numFmtId="0" fontId="45" fillId="0" borderId="0" xfId="211" applyNumberFormat="1" applyFont="1" applyAlignment="1" applyProtection="1"/>
    <xf numFmtId="3" fontId="45" fillId="0" borderId="0" xfId="211" applyNumberFormat="1" applyFont="1" applyAlignment="1" applyProtection="1"/>
    <xf numFmtId="3" fontId="45" fillId="0" borderId="8" xfId="211" applyNumberFormat="1" applyFont="1" applyBorder="1" applyAlignment="1" applyProtection="1">
      <alignment horizontal="center"/>
    </xf>
    <xf numFmtId="3" fontId="45" fillId="0" borderId="0" xfId="211" applyNumberFormat="1" applyFont="1" applyAlignment="1" applyProtection="1">
      <alignment horizontal="center"/>
    </xf>
    <xf numFmtId="0" fontId="45" fillId="0" borderId="8" xfId="211" applyNumberFormat="1" applyFont="1" applyBorder="1" applyAlignment="1" applyProtection="1">
      <alignment horizontal="center"/>
    </xf>
    <xf numFmtId="172" fontId="45" fillId="0" borderId="0" xfId="211" applyFont="1" applyFill="1" applyAlignment="1" applyProtection="1"/>
    <xf numFmtId="173" fontId="45" fillId="0" borderId="0" xfId="59" applyNumberFormat="1" applyFont="1" applyFill="1" applyAlignment="1" applyProtection="1">
      <alignment horizontal="center"/>
    </xf>
    <xf numFmtId="170" fontId="45" fillId="0" borderId="0" xfId="266" applyNumberFormat="1" applyFont="1" applyFill="1" applyAlignment="1" applyProtection="1">
      <alignment horizontal="center"/>
    </xf>
    <xf numFmtId="43" fontId="45" fillId="0" borderId="0" xfId="59" applyFont="1" applyAlignment="1" applyProtection="1"/>
    <xf numFmtId="10" fontId="45" fillId="0" borderId="0" xfId="266" applyNumberFormat="1" applyFont="1" applyFill="1" applyAlignment="1" applyProtection="1">
      <alignment horizontal="center"/>
    </xf>
    <xf numFmtId="170" fontId="45" fillId="0" borderId="0" xfId="266" applyNumberFormat="1" applyFont="1" applyAlignment="1" applyProtection="1"/>
    <xf numFmtId="172" fontId="45" fillId="0" borderId="0" xfId="211" applyFont="1" applyFill="1" applyAlignment="1" applyProtection="1">
      <alignment wrapText="1"/>
    </xf>
    <xf numFmtId="170" fontId="45" fillId="0" borderId="8" xfId="266" applyNumberFormat="1" applyFont="1" applyBorder="1" applyAlignment="1" applyProtection="1"/>
    <xf numFmtId="172" fontId="45" fillId="0" borderId="0" xfId="211" applyFont="1" applyAlignment="1" applyProtection="1"/>
    <xf numFmtId="43" fontId="45" fillId="0" borderId="0" xfId="59" applyFont="1" applyFill="1" applyAlignment="1" applyProtection="1">
      <alignment horizontal="center"/>
    </xf>
    <xf numFmtId="3" fontId="45" fillId="0" borderId="0" xfId="211" applyNumberFormat="1" applyFont="1" applyFill="1" applyAlignment="1" applyProtection="1"/>
    <xf numFmtId="166" fontId="45" fillId="0" borderId="0" xfId="211" applyNumberFormat="1" applyFont="1" applyAlignment="1" applyProtection="1">
      <alignment horizontal="center"/>
    </xf>
    <xf numFmtId="164" fontId="45" fillId="0" borderId="0" xfId="211" applyNumberFormat="1" applyFont="1" applyAlignment="1" applyProtection="1">
      <alignment horizontal="left"/>
    </xf>
    <xf numFmtId="274" fontId="45" fillId="0" borderId="0" xfId="266" applyNumberFormat="1" applyFont="1" applyFill="1" applyAlignment="1" applyProtection="1">
      <alignment horizontal="right"/>
    </xf>
    <xf numFmtId="182" fontId="45" fillId="0" borderId="0" xfId="59" applyNumberFormat="1" applyFont="1" applyFill="1" applyAlignment="1" applyProtection="1">
      <alignment horizontal="right"/>
    </xf>
    <xf numFmtId="0" fontId="45" fillId="0" borderId="0" xfId="211" applyNumberFormat="1" applyFont="1" applyFill="1" applyAlignment="1" applyProtection="1"/>
    <xf numFmtId="164" fontId="45" fillId="0" borderId="0" xfId="211" applyNumberFormat="1" applyFont="1" applyFill="1" applyAlignment="1" applyProtection="1">
      <alignment horizontal="left"/>
    </xf>
    <xf numFmtId="173" fontId="45" fillId="0" borderId="0" xfId="59" applyNumberFormat="1" applyFont="1" applyFill="1" applyAlignment="1" applyProtection="1">
      <alignment horizontal="right"/>
    </xf>
    <xf numFmtId="173" fontId="45" fillId="0" borderId="0" xfId="59" applyNumberFormat="1" applyFont="1" applyBorder="1" applyAlignment="1" applyProtection="1"/>
    <xf numFmtId="10" fontId="45" fillId="0" borderId="0" xfId="211" applyNumberFormat="1" applyFont="1" applyFill="1" applyAlignment="1" applyProtection="1">
      <alignment horizontal="left"/>
    </xf>
    <xf numFmtId="173" fontId="45" fillId="0" borderId="0" xfId="59" applyNumberFormat="1" applyFont="1" applyAlignment="1" applyProtection="1">
      <alignment horizontal="right"/>
    </xf>
    <xf numFmtId="3" fontId="45" fillId="0" borderId="0" xfId="188" applyNumberFormat="1" applyFont="1" applyAlignment="1" applyProtection="1"/>
    <xf numFmtId="166" fontId="45" fillId="0" borderId="0" xfId="188" applyNumberFormat="1" applyFont="1" applyAlignment="1" applyProtection="1"/>
    <xf numFmtId="0" fontId="45" fillId="0" borderId="0" xfId="188" applyFont="1" applyAlignment="1" applyProtection="1"/>
    <xf numFmtId="173" fontId="45" fillId="0" borderId="1" xfId="59" applyNumberFormat="1" applyFont="1" applyBorder="1" applyAlignment="1" applyProtection="1">
      <alignment horizontal="right"/>
    </xf>
    <xf numFmtId="173" fontId="45" fillId="0" borderId="0" xfId="0" applyNumberFormat="1" applyFont="1" applyAlignment="1" applyProtection="1"/>
    <xf numFmtId="173" fontId="45" fillId="0" borderId="1" xfId="59" applyNumberFormat="1" applyFont="1" applyBorder="1" applyAlignment="1" applyProtection="1"/>
    <xf numFmtId="173" fontId="45" fillId="0" borderId="0" xfId="59" applyNumberFormat="1" applyFont="1" applyAlignment="1" applyProtection="1">
      <alignment horizontal="left" indent="2"/>
    </xf>
    <xf numFmtId="182" fontId="45" fillId="0" borderId="0" xfId="59" applyNumberFormat="1" applyFont="1" applyAlignment="1" applyProtection="1"/>
    <xf numFmtId="173" fontId="45" fillId="0" borderId="8" xfId="59" applyNumberFormat="1" applyFont="1" applyBorder="1" applyAlignment="1" applyProtection="1"/>
    <xf numFmtId="0" fontId="55" fillId="0" borderId="0" xfId="59" applyNumberFormat="1" applyFont="1" applyFill="1" applyBorder="1" applyAlignment="1" applyProtection="1">
      <alignment horizontal="center"/>
    </xf>
    <xf numFmtId="0" fontId="55" fillId="0" borderId="0" xfId="208" applyNumberFormat="1" applyFont="1" applyFill="1" applyBorder="1" applyAlignment="1" applyProtection="1">
      <alignment horizontal="center"/>
    </xf>
    <xf numFmtId="0" fontId="55" fillId="0" borderId="0" xfId="59" applyNumberFormat="1" applyFont="1" applyFill="1" applyAlignment="1" applyProtection="1">
      <alignment horizontal="center"/>
    </xf>
    <xf numFmtId="172" fontId="55" fillId="0" borderId="0" xfId="0" applyFont="1" applyFill="1" applyAlignment="1" applyProtection="1">
      <alignment horizontal="center"/>
    </xf>
    <xf numFmtId="172" fontId="55" fillId="0" borderId="19" xfId="0" applyFont="1" applyFill="1" applyBorder="1" applyProtection="1"/>
    <xf numFmtId="172" fontId="55" fillId="0" borderId="22" xfId="0" applyFont="1" applyFill="1" applyBorder="1" applyAlignment="1" applyProtection="1">
      <alignment horizontal="center"/>
    </xf>
    <xf numFmtId="172" fontId="55" fillId="0" borderId="3" xfId="0" applyFont="1" applyFill="1" applyBorder="1" applyProtection="1"/>
    <xf numFmtId="172" fontId="55" fillId="0" borderId="20" xfId="0" applyFont="1" applyFill="1" applyBorder="1" applyProtection="1"/>
    <xf numFmtId="172" fontId="55" fillId="0" borderId="17" xfId="0" applyFont="1" applyFill="1" applyBorder="1" applyAlignment="1" applyProtection="1">
      <alignment horizontal="center"/>
    </xf>
    <xf numFmtId="172" fontId="55" fillId="0" borderId="15" xfId="0" applyFont="1" applyFill="1" applyBorder="1" applyAlignment="1" applyProtection="1">
      <alignment horizontal="center"/>
    </xf>
    <xf numFmtId="172" fontId="55" fillId="0" borderId="17" xfId="0" applyFont="1" applyFill="1" applyBorder="1" applyAlignment="1" applyProtection="1"/>
    <xf numFmtId="172" fontId="55" fillId="0" borderId="1" xfId="0" applyFont="1" applyFill="1" applyBorder="1" applyAlignment="1" applyProtection="1"/>
    <xf numFmtId="172" fontId="55" fillId="0" borderId="21" xfId="0" applyFont="1" applyFill="1" applyBorder="1" applyAlignment="1" applyProtection="1"/>
    <xf numFmtId="172" fontId="55" fillId="0" borderId="22" xfId="0" applyFont="1" applyFill="1" applyBorder="1" applyProtection="1"/>
    <xf numFmtId="174" fontId="55" fillId="0" borderId="10" xfId="93" applyNumberFormat="1" applyFont="1" applyFill="1" applyBorder="1" applyProtection="1"/>
    <xf numFmtId="172" fontId="55" fillId="0" borderId="11" xfId="0" applyFont="1" applyFill="1" applyBorder="1" applyProtection="1"/>
    <xf numFmtId="172" fontId="55" fillId="0" borderId="9" xfId="0" applyFont="1" applyFill="1" applyBorder="1" applyAlignment="1" applyProtection="1">
      <alignment horizontal="center"/>
    </xf>
    <xf numFmtId="172" fontId="55" fillId="0" borderId="11" xfId="0" applyFont="1" applyFill="1" applyBorder="1" applyAlignment="1" applyProtection="1">
      <alignment horizontal="center"/>
    </xf>
    <xf numFmtId="172" fontId="55" fillId="0" borderId="10" xfId="0" applyFont="1" applyFill="1" applyBorder="1" applyAlignment="1" applyProtection="1">
      <alignment horizontal="center"/>
    </xf>
    <xf numFmtId="172" fontId="55" fillId="0" borderId="19" xfId="0" applyFont="1" applyFill="1" applyBorder="1" applyAlignment="1" applyProtection="1">
      <alignment horizontal="center"/>
    </xf>
    <xf numFmtId="172" fontId="55" fillId="0" borderId="15" xfId="201" applyFont="1" applyFill="1" applyBorder="1" applyAlignment="1" applyProtection="1">
      <alignment horizontal="center"/>
    </xf>
    <xf numFmtId="173" fontId="55" fillId="0" borderId="11" xfId="59" applyNumberFormat="1" applyFont="1" applyFill="1" applyBorder="1" applyAlignment="1" applyProtection="1">
      <alignment horizontal="center"/>
    </xf>
    <xf numFmtId="43" fontId="55" fillId="0" borderId="11" xfId="59" applyFont="1" applyFill="1" applyBorder="1" applyAlignment="1" applyProtection="1">
      <alignment horizontal="center"/>
    </xf>
    <xf numFmtId="172" fontId="55" fillId="0" borderId="15" xfId="0" applyFont="1" applyFill="1" applyBorder="1" applyProtection="1"/>
    <xf numFmtId="173" fontId="55" fillId="0" borderId="17" xfId="93" applyNumberFormat="1" applyFont="1" applyFill="1" applyBorder="1" applyProtection="1"/>
    <xf numFmtId="10" fontId="55" fillId="0" borderId="15" xfId="266" applyNumberFormat="1" applyFont="1" applyFill="1" applyBorder="1" applyProtection="1"/>
    <xf numFmtId="174" fontId="55" fillId="0" borderId="15" xfId="93" applyNumberFormat="1" applyFont="1" applyFill="1" applyBorder="1" applyProtection="1"/>
    <xf numFmtId="172" fontId="55" fillId="0" borderId="21" xfId="0" applyFont="1" applyFill="1" applyBorder="1" applyProtection="1"/>
    <xf numFmtId="43" fontId="55" fillId="0" borderId="0" xfId="59" applyFont="1" applyFill="1" applyProtection="1"/>
    <xf numFmtId="172" fontId="74" fillId="0" borderId="0" xfId="0" applyFont="1" applyFill="1" applyProtection="1"/>
    <xf numFmtId="172" fontId="55" fillId="0" borderId="0" xfId="201" applyFont="1" applyFill="1" applyAlignment="1" applyProtection="1"/>
    <xf numFmtId="0" fontId="62" fillId="0" borderId="0" xfId="59" applyNumberFormat="1" applyFont="1" applyFill="1" applyBorder="1" applyAlignment="1" applyProtection="1">
      <alignment horizontal="left"/>
    </xf>
    <xf numFmtId="172" fontId="55" fillId="0" borderId="1" xfId="201" applyFont="1" applyFill="1" applyBorder="1" applyAlignment="1" applyProtection="1">
      <alignment horizontal="center"/>
    </xf>
    <xf numFmtId="172" fontId="55" fillId="0" borderId="0" xfId="201" applyFont="1" applyFill="1" applyAlignment="1" applyProtection="1">
      <alignment horizontal="center"/>
    </xf>
    <xf numFmtId="172" fontId="55" fillId="0" borderId="19" xfId="201" applyFont="1" applyFill="1" applyBorder="1" applyAlignment="1" applyProtection="1">
      <alignment horizontal="center"/>
    </xf>
    <xf numFmtId="172" fontId="55" fillId="0" borderId="22" xfId="201" applyFont="1" applyFill="1" applyBorder="1" applyAlignment="1" applyProtection="1">
      <alignment horizontal="center"/>
    </xf>
    <xf numFmtId="172" fontId="55" fillId="0" borderId="10" xfId="201" applyFont="1" applyFill="1" applyBorder="1" applyAlignment="1" applyProtection="1">
      <alignment horizontal="center"/>
    </xf>
    <xf numFmtId="172" fontId="55" fillId="0" borderId="11" xfId="201" applyFont="1" applyFill="1" applyBorder="1" applyAlignment="1" applyProtection="1">
      <alignment horizontal="center"/>
    </xf>
    <xf numFmtId="172" fontId="55" fillId="0" borderId="17" xfId="201" applyFont="1" applyFill="1" applyBorder="1" applyAlignment="1" applyProtection="1">
      <alignment horizontal="center"/>
    </xf>
    <xf numFmtId="0" fontId="55" fillId="0" borderId="8" xfId="59" applyNumberFormat="1" applyFont="1" applyFill="1" applyBorder="1" applyAlignment="1" applyProtection="1">
      <alignment horizontal="center"/>
    </xf>
    <xf numFmtId="0" fontId="55" fillId="0" borderId="0" xfId="210" applyFont="1" applyFill="1" applyProtection="1"/>
    <xf numFmtId="0" fontId="55" fillId="0" borderId="0" xfId="0" applyNumberFormat="1" applyFont="1" applyFill="1" applyAlignment="1" applyProtection="1">
      <alignment horizontal="center" vertical="top"/>
    </xf>
    <xf numFmtId="173" fontId="55" fillId="0" borderId="11" xfId="59" applyNumberFormat="1" applyFont="1" applyFill="1" applyBorder="1" applyAlignment="1" applyProtection="1">
      <alignment horizontal="center"/>
      <protection locked="0"/>
    </xf>
    <xf numFmtId="43" fontId="55" fillId="0" borderId="11" xfId="59" applyFont="1" applyFill="1" applyBorder="1" applyProtection="1">
      <protection locked="0"/>
    </xf>
    <xf numFmtId="0" fontId="85" fillId="0" borderId="0" xfId="0" applyNumberFormat="1" applyFont="1" applyFill="1" applyAlignment="1" applyProtection="1">
      <alignment horizontal="center"/>
    </xf>
    <xf numFmtId="0" fontId="55" fillId="0" borderId="0" xfId="212" applyFont="1" applyFill="1" applyProtection="1"/>
    <xf numFmtId="0" fontId="55" fillId="0" borderId="0" xfId="212" applyFont="1" applyFill="1" applyAlignment="1" applyProtection="1">
      <alignment horizontal="right"/>
    </xf>
    <xf numFmtId="0" fontId="55" fillId="0" borderId="0" xfId="0" applyNumberFormat="1" applyFont="1" applyFill="1" applyAlignment="1" applyProtection="1">
      <alignment horizontal="center"/>
    </xf>
    <xf numFmtId="0" fontId="55" fillId="0" borderId="0" xfId="212" applyFont="1" applyFill="1" applyAlignment="1" applyProtection="1">
      <alignment horizontal="center"/>
    </xf>
    <xf numFmtId="172" fontId="55" fillId="0" borderId="0" xfId="0" applyFont="1" applyFill="1" applyAlignment="1" applyProtection="1">
      <alignment horizontal="right"/>
    </xf>
    <xf numFmtId="0" fontId="62" fillId="0" borderId="0" xfId="212" applyFont="1" applyFill="1" applyAlignment="1" applyProtection="1">
      <alignment horizontal="centerContinuous"/>
    </xf>
    <xf numFmtId="0" fontId="62" fillId="0" borderId="0" xfId="212" applyFont="1" applyFill="1" applyAlignment="1" applyProtection="1">
      <alignment horizontal="center"/>
    </xf>
    <xf numFmtId="0" fontId="55" fillId="0" borderId="0" xfId="0" applyNumberFormat="1" applyFont="1" applyFill="1" applyAlignment="1" applyProtection="1">
      <alignment horizontal="center" wrapText="1"/>
    </xf>
    <xf numFmtId="0" fontId="62" fillId="0" borderId="0" xfId="212" applyFont="1" applyFill="1" applyAlignment="1" applyProtection="1">
      <alignment horizontal="center" wrapText="1"/>
    </xf>
    <xf numFmtId="172" fontId="62" fillId="0" borderId="0" xfId="0" applyFont="1" applyFill="1" applyAlignment="1" applyProtection="1">
      <alignment horizontal="center" wrapText="1"/>
    </xf>
    <xf numFmtId="172" fontId="55" fillId="0" borderId="0" xfId="0" applyFont="1" applyFill="1" applyAlignment="1" applyProtection="1">
      <alignment wrapText="1"/>
    </xf>
    <xf numFmtId="0" fontId="62" fillId="0" borderId="0" xfId="206" applyFont="1" applyFill="1" applyBorder="1" applyAlignment="1" applyProtection="1">
      <alignment horizontal="center" wrapText="1"/>
    </xf>
    <xf numFmtId="0" fontId="55" fillId="0" borderId="0" xfId="192" applyFont="1" applyFill="1" applyAlignment="1" applyProtection="1">
      <alignment horizontal="left" wrapText="1"/>
    </xf>
    <xf numFmtId="37" fontId="55" fillId="0" borderId="0" xfId="59" applyNumberFormat="1" applyFont="1" applyFill="1" applyAlignment="1" applyProtection="1">
      <alignment horizontal="center"/>
    </xf>
    <xf numFmtId="37" fontId="55" fillId="0" borderId="0" xfId="59" applyNumberFormat="1" applyFont="1" applyFill="1" applyAlignment="1" applyProtection="1">
      <alignment horizontal="center" wrapText="1"/>
    </xf>
    <xf numFmtId="37" fontId="55" fillId="0" borderId="0" xfId="59" applyNumberFormat="1" applyFont="1" applyFill="1" applyBorder="1" applyAlignment="1" applyProtection="1">
      <alignment horizontal="center" wrapText="1"/>
    </xf>
    <xf numFmtId="3" fontId="55" fillId="0" borderId="0" xfId="188" applyNumberFormat="1" applyFont="1" applyFill="1" applyAlignment="1" applyProtection="1">
      <alignment horizontal="left" wrapText="1"/>
    </xf>
    <xf numFmtId="3" fontId="55" fillId="0" borderId="0" xfId="188" applyNumberFormat="1" applyFont="1" applyFill="1" applyAlignment="1" applyProtection="1">
      <alignment wrapText="1"/>
    </xf>
    <xf numFmtId="3" fontId="55" fillId="0" borderId="0" xfId="188" applyNumberFormat="1" applyFont="1" applyFill="1" applyAlignment="1" applyProtection="1">
      <alignment horizontal="center" wrapText="1"/>
    </xf>
    <xf numFmtId="0" fontId="55" fillId="0" borderId="0" xfId="212" quotePrefix="1" applyFont="1" applyFill="1" applyAlignment="1" applyProtection="1">
      <alignment horizontal="left"/>
    </xf>
    <xf numFmtId="173" fontId="55" fillId="0" borderId="14" xfId="59" applyNumberFormat="1" applyFont="1" applyFill="1" applyBorder="1" applyProtection="1"/>
    <xf numFmtId="37" fontId="55" fillId="0" borderId="0" xfId="212" applyNumberFormat="1" applyFont="1" applyFill="1" applyProtection="1"/>
    <xf numFmtId="172" fontId="55" fillId="0" borderId="0" xfId="207" applyFont="1" applyFill="1" applyAlignment="1" applyProtection="1"/>
    <xf numFmtId="0" fontId="62" fillId="0" borderId="0" xfId="212" applyFont="1" applyFill="1" applyAlignment="1" applyProtection="1">
      <alignment horizontal="centerContinuous" wrapText="1"/>
    </xf>
    <xf numFmtId="0" fontId="55" fillId="0" borderId="0" xfId="206" applyFont="1" applyFill="1" applyBorder="1" applyAlignment="1" applyProtection="1">
      <alignment horizontal="center" wrapText="1"/>
    </xf>
    <xf numFmtId="41" fontId="99" fillId="16" borderId="0" xfId="212" applyNumberFormat="1" applyFont="1" applyFill="1" applyProtection="1"/>
    <xf numFmtId="0" fontId="55" fillId="0" borderId="0" xfId="212" applyFont="1" applyFill="1" applyAlignment="1" applyProtection="1">
      <alignment horizontal="left"/>
    </xf>
    <xf numFmtId="43" fontId="55" fillId="0" borderId="14" xfId="59" applyFont="1" applyFill="1" applyBorder="1" applyProtection="1"/>
    <xf numFmtId="44" fontId="55" fillId="0" borderId="0" xfId="0" applyNumberFormat="1" applyFont="1" applyFill="1" applyBorder="1" applyAlignment="1" applyProtection="1"/>
    <xf numFmtId="0" fontId="55" fillId="0" borderId="0" xfId="187" applyFont="1" applyFill="1" applyBorder="1" applyAlignment="1" applyProtection="1"/>
    <xf numFmtId="0" fontId="55" fillId="0" borderId="0" xfId="187" applyFont="1" applyFill="1" applyBorder="1" applyAlignment="1" applyProtection="1">
      <alignment horizontal="center"/>
    </xf>
    <xf numFmtId="3" fontId="55" fillId="0" borderId="0" xfId="187" applyNumberFormat="1" applyFont="1" applyFill="1" applyBorder="1" applyAlignment="1" applyProtection="1">
      <alignment horizontal="center" wrapText="1"/>
    </xf>
    <xf numFmtId="0" fontId="55" fillId="0" borderId="0" xfId="187" applyFont="1" applyFill="1" applyBorder="1" applyAlignment="1" applyProtection="1">
      <alignment horizontal="center" wrapText="1"/>
    </xf>
    <xf numFmtId="172" fontId="85" fillId="0" borderId="0" xfId="0" applyFont="1" applyFill="1" applyBorder="1" applyAlignment="1" applyProtection="1"/>
    <xf numFmtId="10" fontId="55" fillId="0" borderId="0" xfId="59" applyNumberFormat="1" applyFont="1" applyFill="1" applyBorder="1" applyAlignment="1" applyProtection="1">
      <alignment horizontal="center"/>
    </xf>
    <xf numFmtId="173" fontId="55" fillId="0" borderId="0" xfId="59" applyNumberFormat="1" applyFont="1" applyFill="1" applyBorder="1" applyAlignment="1" applyProtection="1">
      <alignment horizontal="center" wrapText="1"/>
    </xf>
    <xf numFmtId="43" fontId="55" fillId="0" borderId="1" xfId="59" applyFont="1" applyFill="1" applyBorder="1" applyAlignment="1" applyProtection="1">
      <alignment horizontal="center"/>
    </xf>
    <xf numFmtId="173" fontId="55" fillId="0" borderId="1" xfId="59" applyNumberFormat="1" applyFont="1" applyFill="1" applyBorder="1" applyAlignment="1" applyProtection="1">
      <alignment horizontal="center" wrapText="1"/>
    </xf>
    <xf numFmtId="0" fontId="84" fillId="0" borderId="0" xfId="0" applyNumberFormat="1" applyFont="1" applyFill="1" applyAlignment="1" applyProtection="1">
      <alignment horizontal="center"/>
    </xf>
    <xf numFmtId="172" fontId="84" fillId="0" borderId="0" xfId="0" applyFont="1" applyFill="1" applyAlignment="1" applyProtection="1">
      <alignment horizontal="center"/>
    </xf>
    <xf numFmtId="44" fontId="84" fillId="0" borderId="0" xfId="0" applyNumberFormat="1" applyFont="1" applyFill="1" applyBorder="1" applyAlignment="1" applyProtection="1"/>
    <xf numFmtId="0" fontId="55" fillId="0" borderId="8" xfId="0" applyNumberFormat="1" applyFont="1" applyFill="1" applyBorder="1" applyAlignment="1" applyProtection="1">
      <alignment horizontal="center"/>
    </xf>
    <xf numFmtId="172" fontId="55" fillId="0" borderId="0" xfId="0" applyFont="1" applyFill="1" applyAlignment="1" applyProtection="1">
      <alignment vertical="center" wrapText="1"/>
    </xf>
    <xf numFmtId="172" fontId="55" fillId="0" borderId="0" xfId="0" applyFont="1" applyFill="1" applyAlignment="1" applyProtection="1">
      <alignment horizontal="left" vertical="center"/>
    </xf>
    <xf numFmtId="0" fontId="55" fillId="0" borderId="0" xfId="0" applyNumberFormat="1" applyFont="1" applyFill="1" applyBorder="1" applyAlignment="1" applyProtection="1">
      <alignment vertical="top"/>
    </xf>
    <xf numFmtId="0" fontId="103" fillId="0" borderId="0" xfId="389" applyFont="1" applyFill="1" applyAlignment="1" applyProtection="1">
      <alignment horizontal="center"/>
    </xf>
    <xf numFmtId="0" fontId="103" fillId="0" borderId="0" xfId="389" applyFont="1" applyFill="1" applyProtection="1"/>
    <xf numFmtId="0" fontId="51" fillId="0" borderId="0" xfId="389" applyFont="1" applyFill="1" applyProtection="1"/>
    <xf numFmtId="0" fontId="45" fillId="0" borderId="0" xfId="390" applyNumberFormat="1" applyFont="1" applyFill="1" applyAlignment="1" applyProtection="1">
      <alignment horizontal="right"/>
    </xf>
    <xf numFmtId="0" fontId="103" fillId="0" borderId="0" xfId="389" applyFont="1" applyFill="1" applyBorder="1" applyProtection="1"/>
    <xf numFmtId="49" fontId="96" fillId="0" borderId="0" xfId="390" applyNumberFormat="1" applyFont="1" applyFill="1" applyAlignment="1" applyProtection="1">
      <alignment horizontal="center"/>
    </xf>
    <xf numFmtId="0" fontId="104" fillId="0" borderId="0" xfId="389" applyFont="1" applyFill="1" applyAlignment="1" applyProtection="1"/>
    <xf numFmtId="0" fontId="105" fillId="0" borderId="0" xfId="389" applyFont="1" applyFill="1" applyAlignment="1" applyProtection="1"/>
    <xf numFmtId="0" fontId="104" fillId="0" borderId="0" xfId="389" applyFont="1" applyFill="1" applyAlignment="1" applyProtection="1">
      <alignment horizontal="center"/>
    </xf>
    <xf numFmtId="0" fontId="104" fillId="0" borderId="0" xfId="389" applyFont="1" applyFill="1" applyAlignment="1" applyProtection="1">
      <alignment horizontal="left"/>
    </xf>
    <xf numFmtId="9" fontId="103" fillId="0" borderId="0" xfId="389" applyNumberFormat="1" applyFont="1" applyFill="1" applyAlignment="1" applyProtection="1">
      <alignment horizontal="center"/>
    </xf>
    <xf numFmtId="9" fontId="104" fillId="0" borderId="0" xfId="391" applyNumberFormat="1" applyFont="1" applyFill="1" applyBorder="1" applyAlignment="1" applyProtection="1">
      <alignment horizontal="center"/>
    </xf>
    <xf numFmtId="182" fontId="103" fillId="0" borderId="0" xfId="392" applyNumberFormat="1" applyFont="1" applyFill="1" applyBorder="1" applyAlignment="1" applyProtection="1">
      <alignment horizontal="center"/>
    </xf>
    <xf numFmtId="182" fontId="103" fillId="0" borderId="0" xfId="392" applyNumberFormat="1" applyFont="1" applyFill="1" applyAlignment="1" applyProtection="1">
      <alignment horizontal="center"/>
    </xf>
    <xf numFmtId="10" fontId="103" fillId="0" borderId="0" xfId="391" applyNumberFormat="1" applyFont="1" applyFill="1" applyBorder="1" applyAlignment="1" applyProtection="1">
      <alignment horizontal="center"/>
    </xf>
    <xf numFmtId="0" fontId="45" fillId="0" borderId="0" xfId="389" applyFont="1" applyFill="1" applyBorder="1" applyProtection="1"/>
    <xf numFmtId="0" fontId="108" fillId="0" borderId="0" xfId="389" applyFont="1" applyFill="1" applyBorder="1" applyProtection="1"/>
    <xf numFmtId="10" fontId="103" fillId="0" borderId="0" xfId="391" applyNumberFormat="1" applyFont="1" applyFill="1" applyProtection="1"/>
    <xf numFmtId="182" fontId="103" fillId="0" borderId="0" xfId="392" applyNumberFormat="1" applyFont="1" applyFill="1" applyProtection="1"/>
    <xf numFmtId="0" fontId="118" fillId="0" borderId="0" xfId="393" applyFont="1" applyFill="1" applyBorder="1" applyAlignment="1" applyProtection="1">
      <alignment horizontal="center" vertical="center" wrapText="1"/>
    </xf>
    <xf numFmtId="9" fontId="103" fillId="0" borderId="0" xfId="391" applyFont="1" applyFill="1" applyProtection="1"/>
    <xf numFmtId="0" fontId="118" fillId="0" borderId="0" xfId="393" applyFont="1" applyFill="1" applyBorder="1" applyProtection="1"/>
    <xf numFmtId="0" fontId="118" fillId="0" borderId="0" xfId="393" applyFont="1" applyFill="1" applyBorder="1" applyAlignment="1" applyProtection="1">
      <alignment horizontal="left" vertical="center"/>
    </xf>
    <xf numFmtId="15" fontId="118" fillId="0" borderId="0" xfId="393" applyNumberFormat="1" applyFont="1" applyFill="1" applyBorder="1" applyAlignment="1" applyProtection="1">
      <alignment vertical="center" wrapText="1"/>
    </xf>
    <xf numFmtId="173" fontId="118" fillId="0" borderId="0" xfId="394" applyNumberFormat="1" applyFont="1" applyFill="1" applyBorder="1" applyAlignment="1" applyProtection="1">
      <alignment horizontal="right" vertical="center" wrapText="1"/>
    </xf>
    <xf numFmtId="173" fontId="118" fillId="0" borderId="0" xfId="394" applyNumberFormat="1" applyFont="1" applyFill="1" applyBorder="1" applyAlignment="1" applyProtection="1">
      <alignment vertical="center" wrapText="1"/>
    </xf>
    <xf numFmtId="10" fontId="118" fillId="0" borderId="0" xfId="391" applyNumberFormat="1" applyFont="1" applyFill="1" applyBorder="1" applyProtection="1"/>
    <xf numFmtId="43" fontId="103" fillId="0" borderId="0" xfId="392" applyFont="1" applyFill="1" applyBorder="1" applyProtection="1"/>
    <xf numFmtId="173" fontId="103" fillId="0" borderId="0" xfId="392" applyNumberFormat="1" applyFont="1" applyFill="1" applyBorder="1" applyProtection="1"/>
    <xf numFmtId="173" fontId="51" fillId="0" borderId="0" xfId="392" applyNumberFormat="1" applyFont="1" applyFill="1" applyProtection="1"/>
    <xf numFmtId="173" fontId="103" fillId="0" borderId="0" xfId="59" applyNumberFormat="1" applyFont="1" applyFill="1" applyProtection="1"/>
    <xf numFmtId="173" fontId="103" fillId="0" borderId="0" xfId="389" applyNumberFormat="1" applyFont="1" applyFill="1" applyProtection="1"/>
    <xf numFmtId="10" fontId="103" fillId="0" borderId="0" xfId="391" applyNumberFormat="1" applyFont="1" applyFill="1" applyBorder="1" applyProtection="1"/>
    <xf numFmtId="43" fontId="103" fillId="0" borderId="0" xfId="392" applyFont="1" applyFill="1" applyProtection="1"/>
    <xf numFmtId="182" fontId="45" fillId="0" borderId="0" xfId="392" applyNumberFormat="1" applyFont="1" applyFill="1" applyBorder="1" applyProtection="1"/>
    <xf numFmtId="9" fontId="45" fillId="0" borderId="0" xfId="391" applyFont="1" applyFill="1" applyBorder="1" applyProtection="1"/>
    <xf numFmtId="173" fontId="103" fillId="0" borderId="0" xfId="392" applyNumberFormat="1" applyFont="1" applyFill="1" applyProtection="1"/>
    <xf numFmtId="41" fontId="51" fillId="0" borderId="0" xfId="389" applyNumberFormat="1" applyFont="1" applyFill="1" applyProtection="1"/>
    <xf numFmtId="49" fontId="45" fillId="0" borderId="0" xfId="390" applyNumberFormat="1" applyFont="1" applyFill="1" applyAlignment="1" applyProtection="1">
      <alignment horizontal="center"/>
    </xf>
    <xf numFmtId="49" fontId="45" fillId="0" borderId="0" xfId="390" applyNumberFormat="1" applyFont="1" applyFill="1" applyAlignment="1" applyProtection="1"/>
    <xf numFmtId="0" fontId="104" fillId="0" borderId="0" xfId="389" applyFont="1" applyFill="1" applyProtection="1"/>
    <xf numFmtId="0" fontId="103" fillId="0" borderId="8" xfId="389" applyFont="1" applyFill="1" applyBorder="1" applyAlignment="1" applyProtection="1">
      <alignment horizontal="left"/>
    </xf>
    <xf numFmtId="0" fontId="103" fillId="0" borderId="0" xfId="389" applyFont="1" applyFill="1" applyAlignment="1" applyProtection="1">
      <alignment horizontal="left"/>
    </xf>
    <xf numFmtId="0" fontId="51" fillId="0" borderId="0" xfId="389" applyFont="1" applyFill="1" applyBorder="1" applyAlignment="1" applyProtection="1">
      <alignment horizontal="left"/>
    </xf>
    <xf numFmtId="0" fontId="51" fillId="0" borderId="0" xfId="389" applyFont="1" applyFill="1" applyBorder="1" applyProtection="1"/>
    <xf numFmtId="41" fontId="126" fillId="0" borderId="0" xfId="389" applyNumberFormat="1" applyFont="1" applyFill="1" applyBorder="1" applyAlignment="1" applyProtection="1">
      <alignment horizontal="center"/>
    </xf>
    <xf numFmtId="41" fontId="51" fillId="0" borderId="0" xfId="389" applyNumberFormat="1" applyFont="1" applyFill="1" applyBorder="1" applyProtection="1"/>
    <xf numFmtId="0" fontId="51" fillId="0" borderId="0" xfId="389" applyFont="1" applyFill="1" applyAlignment="1" applyProtection="1">
      <alignment horizontal="right"/>
    </xf>
    <xf numFmtId="0" fontId="51" fillId="0" borderId="0" xfId="389" applyFont="1" applyFill="1" applyBorder="1" applyAlignment="1" applyProtection="1">
      <alignment horizontal="right"/>
    </xf>
    <xf numFmtId="0" fontId="62" fillId="0" borderId="0" xfId="389" applyFont="1" applyFill="1" applyAlignment="1" applyProtection="1">
      <alignment horizontal="center"/>
    </xf>
    <xf numFmtId="41" fontId="62" fillId="0" borderId="0" xfId="389" applyNumberFormat="1" applyFont="1" applyFill="1" applyAlignment="1" applyProtection="1">
      <alignment horizontal="center"/>
    </xf>
    <xf numFmtId="41" fontId="126" fillId="0" borderId="0" xfId="389" applyNumberFormat="1" applyFont="1" applyFill="1" applyAlignment="1" applyProtection="1">
      <alignment horizontal="center"/>
    </xf>
    <xf numFmtId="0" fontId="126" fillId="0" borderId="0" xfId="389" applyFont="1" applyFill="1" applyBorder="1" applyProtection="1"/>
    <xf numFmtId="274" fontId="51" fillId="0" borderId="0" xfId="391" applyNumberFormat="1" applyFont="1" applyFill="1" applyBorder="1" applyProtection="1"/>
    <xf numFmtId="274" fontId="51" fillId="0" borderId="0" xfId="389" applyNumberFormat="1" applyFont="1" applyFill="1" applyBorder="1" applyProtection="1"/>
    <xf numFmtId="0" fontId="51" fillId="0" borderId="0" xfId="389" applyFont="1" applyFill="1" applyAlignment="1" applyProtection="1">
      <alignment horizontal="left"/>
    </xf>
    <xf numFmtId="41" fontId="51" fillId="0" borderId="0" xfId="389" applyNumberFormat="1" applyFont="1" applyFill="1" applyAlignment="1" applyProtection="1">
      <alignment horizontal="left"/>
    </xf>
    <xf numFmtId="0" fontId="126" fillId="0" borderId="0" xfId="389" applyFont="1" applyFill="1" applyProtection="1"/>
    <xf numFmtId="0" fontId="126" fillId="0" borderId="0" xfId="389" applyFont="1" applyFill="1" applyAlignment="1" applyProtection="1">
      <alignment horizontal="center"/>
    </xf>
    <xf numFmtId="0" fontId="55" fillId="0" borderId="0" xfId="389" applyFont="1" applyFill="1" applyProtection="1"/>
    <xf numFmtId="41" fontId="55" fillId="0" borderId="0" xfId="389" applyNumberFormat="1" applyFont="1" applyFill="1" applyProtection="1"/>
    <xf numFmtId="0" fontId="103" fillId="0" borderId="0" xfId="389" applyFont="1" applyFill="1" applyBorder="1" applyAlignment="1" applyProtection="1">
      <alignment horizontal="left"/>
    </xf>
    <xf numFmtId="0" fontId="62" fillId="0" borderId="9" xfId="389" applyFont="1" applyFill="1" applyBorder="1" applyProtection="1"/>
    <xf numFmtId="41" fontId="51" fillId="0" borderId="9" xfId="389" applyNumberFormat="1" applyFont="1" applyFill="1" applyBorder="1" applyProtection="1"/>
    <xf numFmtId="37" fontId="51" fillId="0" borderId="9" xfId="389" applyNumberFormat="1" applyFont="1" applyFill="1" applyBorder="1" applyProtection="1"/>
    <xf numFmtId="41" fontId="103" fillId="0" borderId="0" xfId="389" applyNumberFormat="1" applyFont="1" applyFill="1" applyProtection="1"/>
    <xf numFmtId="0" fontId="62" fillId="0" borderId="0" xfId="389" applyFont="1" applyFill="1" applyBorder="1" applyProtection="1"/>
    <xf numFmtId="41" fontId="62" fillId="0" borderId="0" xfId="389" applyNumberFormat="1" applyFont="1" applyFill="1" applyBorder="1" applyProtection="1"/>
    <xf numFmtId="41" fontId="51" fillId="0" borderId="0" xfId="389" applyNumberFormat="1" applyFont="1" applyFill="1" applyBorder="1" applyAlignment="1" applyProtection="1">
      <alignment horizontal="center"/>
    </xf>
    <xf numFmtId="37" fontId="51" fillId="0" borderId="0" xfId="389" applyNumberFormat="1" applyFont="1" applyFill="1" applyBorder="1" applyAlignment="1" applyProtection="1">
      <alignment horizontal="center"/>
    </xf>
    <xf numFmtId="0" fontId="62" fillId="0" borderId="19" xfId="389" applyFont="1" applyFill="1" applyBorder="1" applyProtection="1"/>
    <xf numFmtId="41" fontId="62" fillId="0" borderId="3" xfId="389" applyNumberFormat="1" applyFont="1" applyFill="1" applyBorder="1" applyProtection="1"/>
    <xf numFmtId="41" fontId="51" fillId="0" borderId="3" xfId="389" applyNumberFormat="1" applyFont="1" applyFill="1" applyBorder="1" applyProtection="1"/>
    <xf numFmtId="41" fontId="51" fillId="0" borderId="3" xfId="389" applyNumberFormat="1" applyFont="1" applyFill="1" applyBorder="1" applyAlignment="1" applyProtection="1">
      <alignment horizontal="center"/>
    </xf>
    <xf numFmtId="0" fontId="51" fillId="0" borderId="20" xfId="389" applyFont="1" applyFill="1" applyBorder="1" applyAlignment="1" applyProtection="1">
      <alignment horizontal="center"/>
    </xf>
    <xf numFmtId="0" fontId="62" fillId="0" borderId="10" xfId="389" applyFont="1" applyFill="1" applyBorder="1" applyAlignment="1" applyProtection="1">
      <alignment horizontal="left"/>
    </xf>
    <xf numFmtId="0" fontId="51" fillId="0" borderId="12" xfId="389" applyFont="1" applyFill="1" applyBorder="1" applyProtection="1"/>
    <xf numFmtId="41" fontId="62" fillId="0" borderId="0" xfId="389" applyNumberFormat="1" applyFont="1" applyFill="1" applyBorder="1" applyAlignment="1" applyProtection="1">
      <alignment horizontal="left"/>
    </xf>
    <xf numFmtId="0" fontId="51" fillId="0" borderId="12" xfId="389" applyFont="1" applyFill="1" applyBorder="1" applyAlignment="1" applyProtection="1">
      <alignment horizontal="center"/>
    </xf>
    <xf numFmtId="0" fontId="62" fillId="0" borderId="10" xfId="389" applyFont="1" applyFill="1" applyBorder="1" applyAlignment="1" applyProtection="1"/>
    <xf numFmtId="0" fontId="62" fillId="0" borderId="10" xfId="389" applyFont="1" applyFill="1" applyBorder="1" applyProtection="1"/>
    <xf numFmtId="0" fontId="62" fillId="0" borderId="17" xfId="389" applyFont="1" applyFill="1" applyBorder="1" applyAlignment="1" applyProtection="1">
      <alignment horizontal="left"/>
    </xf>
    <xf numFmtId="41" fontId="62" fillId="0" borderId="1" xfId="389" applyNumberFormat="1" applyFont="1" applyFill="1" applyBorder="1" applyAlignment="1" applyProtection="1">
      <alignment horizontal="left"/>
    </xf>
    <xf numFmtId="41" fontId="51" fillId="0" borderId="1" xfId="389" applyNumberFormat="1" applyFont="1" applyFill="1" applyBorder="1" applyProtection="1"/>
    <xf numFmtId="41" fontId="51" fillId="0" borderId="1" xfId="389" applyNumberFormat="1" applyFont="1" applyFill="1" applyBorder="1" applyAlignment="1" applyProtection="1">
      <alignment horizontal="center"/>
    </xf>
    <xf numFmtId="0" fontId="51" fillId="0" borderId="21" xfId="389" applyFont="1" applyFill="1" applyBorder="1" applyAlignment="1" applyProtection="1">
      <alignment horizontal="center"/>
    </xf>
    <xf numFmtId="0" fontId="55" fillId="0" borderId="0" xfId="389" applyFont="1" applyFill="1" applyBorder="1" applyAlignment="1" applyProtection="1">
      <alignment horizontal="left"/>
    </xf>
    <xf numFmtId="41" fontId="62" fillId="0" borderId="0" xfId="389" applyNumberFormat="1" applyFont="1" applyFill="1" applyBorder="1" applyAlignment="1" applyProtection="1">
      <alignment horizontal="center"/>
    </xf>
    <xf numFmtId="41" fontId="51" fillId="0" borderId="0" xfId="389" applyNumberFormat="1" applyFont="1" applyFill="1" applyBorder="1" applyAlignment="1" applyProtection="1"/>
    <xf numFmtId="0" fontId="62" fillId="0" borderId="0" xfId="389" applyFont="1" applyFill="1" applyBorder="1" applyAlignment="1" applyProtection="1">
      <alignment horizontal="center"/>
    </xf>
    <xf numFmtId="0" fontId="51" fillId="0" borderId="0" xfId="389" applyFont="1" applyFill="1" applyBorder="1" applyAlignment="1" applyProtection="1"/>
    <xf numFmtId="0" fontId="55" fillId="0" borderId="0" xfId="389" applyFont="1" applyFill="1" applyBorder="1" applyProtection="1"/>
    <xf numFmtId="41" fontId="55" fillId="0" borderId="0" xfId="389" applyNumberFormat="1" applyFont="1" applyFill="1" applyBorder="1" applyProtection="1"/>
    <xf numFmtId="41" fontId="55" fillId="0" borderId="0" xfId="389" applyNumberFormat="1" applyFont="1" applyFill="1" applyBorder="1" applyAlignment="1" applyProtection="1"/>
    <xf numFmtId="0" fontId="51" fillId="0" borderId="9" xfId="389" applyFont="1" applyFill="1" applyBorder="1" applyProtection="1"/>
    <xf numFmtId="41" fontId="127" fillId="0" borderId="0" xfId="389" applyNumberFormat="1" applyFont="1" applyFill="1" applyBorder="1" applyProtection="1"/>
    <xf numFmtId="37" fontId="51" fillId="0" borderId="0" xfId="389" applyNumberFormat="1" applyFont="1" applyFill="1" applyBorder="1" applyProtection="1"/>
    <xf numFmtId="0" fontId="62" fillId="0" borderId="24" xfId="389" applyFont="1" applyFill="1" applyBorder="1" applyProtection="1"/>
    <xf numFmtId="41" fontId="62" fillId="0" borderId="25" xfId="389" applyNumberFormat="1" applyFont="1" applyFill="1" applyBorder="1" applyProtection="1"/>
    <xf numFmtId="41" fontId="51" fillId="0" borderId="25" xfId="389" applyNumberFormat="1" applyFont="1" applyFill="1" applyBorder="1" applyProtection="1"/>
    <xf numFmtId="41" fontId="51" fillId="0" borderId="25" xfId="389" applyNumberFormat="1" applyFont="1" applyFill="1" applyBorder="1" applyAlignment="1" applyProtection="1">
      <alignment horizontal="center"/>
    </xf>
    <xf numFmtId="0" fontId="51" fillId="0" borderId="26" xfId="389" applyFont="1" applyFill="1" applyBorder="1" applyAlignment="1" applyProtection="1">
      <alignment horizontal="center"/>
    </xf>
    <xf numFmtId="41" fontId="62" fillId="0" borderId="0" xfId="389" applyNumberFormat="1" applyFont="1" applyFill="1" applyBorder="1" applyAlignment="1" applyProtection="1">
      <alignment horizontal="left" wrapText="1"/>
    </xf>
    <xf numFmtId="0" fontId="51" fillId="0" borderId="27" xfId="389" applyFont="1" applyFill="1" applyBorder="1" applyAlignment="1" applyProtection="1"/>
    <xf numFmtId="0" fontId="51" fillId="0" borderId="27" xfId="389" applyFont="1" applyFill="1" applyBorder="1" applyAlignment="1" applyProtection="1">
      <alignment horizontal="center"/>
    </xf>
    <xf numFmtId="41" fontId="62" fillId="0" borderId="0" xfId="389" applyNumberFormat="1" applyFont="1" applyFill="1" applyBorder="1" applyAlignment="1" applyProtection="1">
      <alignment wrapText="1"/>
    </xf>
    <xf numFmtId="41" fontId="51" fillId="0" borderId="0" xfId="389" applyNumberFormat="1" applyFont="1" applyFill="1" applyBorder="1" applyAlignment="1" applyProtection="1">
      <alignment wrapText="1"/>
    </xf>
    <xf numFmtId="0" fontId="51" fillId="0" borderId="27" xfId="389" applyFont="1" applyFill="1" applyBorder="1" applyAlignment="1" applyProtection="1">
      <alignment wrapText="1"/>
    </xf>
    <xf numFmtId="41" fontId="62" fillId="0" borderId="8" xfId="389" applyNumberFormat="1" applyFont="1" applyFill="1" applyBorder="1" applyAlignment="1" applyProtection="1">
      <alignment horizontal="left"/>
    </xf>
    <xf numFmtId="41" fontId="51" fillId="0" borderId="8" xfId="389" applyNumberFormat="1" applyFont="1" applyFill="1" applyBorder="1" applyProtection="1"/>
    <xf numFmtId="41" fontId="51" fillId="0" borderId="8" xfId="389" applyNumberFormat="1" applyFont="1" applyFill="1" applyBorder="1" applyAlignment="1" applyProtection="1">
      <alignment horizontal="center"/>
    </xf>
    <xf numFmtId="0" fontId="51" fillId="0" borderId="28" xfId="389" applyFont="1" applyFill="1" applyBorder="1" applyAlignment="1" applyProtection="1">
      <alignment horizontal="center"/>
    </xf>
    <xf numFmtId="0" fontId="62" fillId="0" borderId="0" xfId="389" applyFont="1" applyFill="1" applyBorder="1" applyAlignment="1" applyProtection="1">
      <alignment horizontal="left"/>
    </xf>
    <xf numFmtId="41" fontId="51" fillId="0" borderId="9" xfId="392" applyNumberFormat="1" applyFont="1" applyFill="1" applyBorder="1" applyAlignment="1" applyProtection="1">
      <alignment horizontal="right"/>
    </xf>
    <xf numFmtId="0" fontId="55" fillId="0" borderId="9" xfId="389" applyFont="1" applyFill="1" applyBorder="1" applyProtection="1"/>
    <xf numFmtId="41" fontId="51" fillId="0" borderId="0" xfId="392" applyNumberFormat="1" applyFont="1" applyFill="1" applyBorder="1" applyAlignment="1" applyProtection="1">
      <alignment horizontal="right"/>
    </xf>
    <xf numFmtId="41" fontId="51" fillId="14" borderId="9" xfId="440" applyNumberFormat="1" applyFont="1" applyFill="1" applyBorder="1" applyProtection="1">
      <protection locked="0"/>
    </xf>
    <xf numFmtId="37" fontId="51" fillId="14" borderId="9" xfId="440" applyNumberFormat="1" applyFont="1" applyFill="1" applyBorder="1" applyAlignment="1" applyProtection="1">
      <alignment wrapText="1"/>
      <protection locked="0"/>
    </xf>
    <xf numFmtId="0" fontId="51" fillId="0" borderId="0" xfId="389" applyFont="1" applyFill="1" applyBorder="1" applyAlignment="1" applyProtection="1">
      <alignment horizontal="right" wrapText="1"/>
    </xf>
    <xf numFmtId="0" fontId="51" fillId="0" borderId="0" xfId="389" applyFont="1" applyFill="1" applyBorder="1" applyAlignment="1" applyProtection="1">
      <alignment wrapText="1"/>
    </xf>
    <xf numFmtId="173" fontId="51" fillId="0" borderId="0" xfId="392" applyNumberFormat="1" applyFont="1" applyFill="1" applyBorder="1" applyProtection="1"/>
    <xf numFmtId="10" fontId="51" fillId="0" borderId="0" xfId="391" applyNumberFormat="1" applyFont="1" applyFill="1" applyBorder="1" applyProtection="1"/>
    <xf numFmtId="10" fontId="51" fillId="0" borderId="0" xfId="391" applyNumberFormat="1" applyFont="1" applyFill="1" applyBorder="1" applyAlignment="1" applyProtection="1">
      <alignment wrapText="1"/>
    </xf>
    <xf numFmtId="173" fontId="51" fillId="0" borderId="0" xfId="392" applyNumberFormat="1" applyFont="1" applyFill="1" applyBorder="1" applyAlignment="1" applyProtection="1">
      <alignment wrapText="1"/>
    </xf>
    <xf numFmtId="41" fontId="51" fillId="0" borderId="0" xfId="389" applyNumberFormat="1" applyFont="1" applyFill="1" applyBorder="1" applyAlignment="1" applyProtection="1">
      <alignment horizontal="left"/>
    </xf>
    <xf numFmtId="0" fontId="51" fillId="0" borderId="0" xfId="389" applyFont="1" applyFill="1" applyAlignment="1" applyProtection="1">
      <alignment wrapText="1"/>
    </xf>
    <xf numFmtId="0" fontId="62" fillId="0" borderId="0" xfId="389" applyFont="1" applyFill="1" applyAlignment="1" applyProtection="1">
      <alignment horizontal="center" wrapText="1"/>
    </xf>
    <xf numFmtId="0" fontId="126" fillId="0" borderId="0" xfId="389" applyFont="1" applyFill="1" applyAlignment="1" applyProtection="1">
      <alignment horizontal="center" wrapText="1"/>
    </xf>
    <xf numFmtId="41" fontId="51" fillId="0" borderId="0" xfId="389" applyNumberFormat="1" applyFont="1" applyFill="1" applyAlignment="1" applyProtection="1">
      <alignment horizontal="center"/>
    </xf>
    <xf numFmtId="0" fontId="102" fillId="0" borderId="0" xfId="396" applyFont="1" applyFill="1" applyProtection="1"/>
    <xf numFmtId="0" fontId="62" fillId="0" borderId="9" xfId="440" applyFont="1" applyFill="1" applyBorder="1" applyProtection="1"/>
    <xf numFmtId="41" fontId="51" fillId="0" borderId="9" xfId="440" applyNumberFormat="1" applyFont="1" applyFill="1" applyBorder="1" applyProtection="1"/>
    <xf numFmtId="37" fontId="51" fillId="0" borderId="9" xfId="440" applyNumberFormat="1" applyFont="1" applyFill="1" applyBorder="1" applyAlignment="1" applyProtection="1">
      <alignment wrapText="1"/>
    </xf>
    <xf numFmtId="37" fontId="51" fillId="0" borderId="0" xfId="389" applyNumberFormat="1" applyFont="1" applyFill="1" applyBorder="1" applyAlignment="1" applyProtection="1">
      <alignment horizontal="center" wrapText="1"/>
    </xf>
    <xf numFmtId="0" fontId="51" fillId="0" borderId="20" xfId="389" applyFont="1" applyFill="1" applyBorder="1" applyAlignment="1" applyProtection="1">
      <alignment horizontal="center" wrapText="1"/>
    </xf>
    <xf numFmtId="0" fontId="51" fillId="0" borderId="12" xfId="389" applyFont="1" applyFill="1" applyBorder="1" applyAlignment="1" applyProtection="1">
      <alignment wrapText="1"/>
    </xf>
    <xf numFmtId="0" fontId="51" fillId="0" borderId="12" xfId="389" applyFont="1" applyFill="1" applyBorder="1" applyAlignment="1" applyProtection="1">
      <alignment horizontal="center" wrapText="1"/>
    </xf>
    <xf numFmtId="0" fontId="51" fillId="0" borderId="21" xfId="389" applyFont="1" applyFill="1" applyBorder="1" applyAlignment="1" applyProtection="1">
      <alignment horizontal="center" wrapText="1"/>
    </xf>
    <xf numFmtId="0" fontId="45" fillId="0" borderId="0" xfId="390" applyNumberFormat="1" applyFont="1" applyFill="1" applyAlignment="1" applyProtection="1">
      <alignment horizontal="right" wrapText="1"/>
    </xf>
    <xf numFmtId="0" fontId="51" fillId="0" borderId="0" xfId="389" applyFont="1" applyFill="1" applyAlignment="1" applyProtection="1">
      <alignment horizontal="right" wrapText="1"/>
    </xf>
    <xf numFmtId="0" fontId="126" fillId="0" borderId="0" xfId="389" applyFont="1" applyFill="1" applyBorder="1" applyAlignment="1" applyProtection="1">
      <alignment wrapText="1"/>
    </xf>
    <xf numFmtId="0" fontId="62" fillId="0" borderId="0" xfId="389" applyFont="1" applyFill="1" applyBorder="1" applyAlignment="1" applyProtection="1">
      <alignment horizontal="center" wrapText="1"/>
    </xf>
    <xf numFmtId="0" fontId="51" fillId="0" borderId="9" xfId="389" applyFont="1" applyFill="1" applyBorder="1" applyAlignment="1" applyProtection="1">
      <alignment wrapText="1"/>
    </xf>
    <xf numFmtId="41" fontId="51" fillId="0" borderId="9" xfId="448" applyNumberFormat="1" applyFont="1" applyFill="1" applyBorder="1" applyProtection="1"/>
    <xf numFmtId="0" fontId="51" fillId="0" borderId="9" xfId="448" applyFont="1" applyFill="1" applyBorder="1" applyAlignment="1" applyProtection="1">
      <alignment wrapText="1"/>
    </xf>
    <xf numFmtId="37" fontId="51" fillId="0" borderId="0" xfId="389" applyNumberFormat="1" applyFont="1" applyFill="1" applyBorder="1" applyAlignment="1" applyProtection="1">
      <alignment wrapText="1"/>
    </xf>
    <xf numFmtId="0" fontId="51" fillId="0" borderId="0" xfId="389" applyFont="1" applyFill="1" applyBorder="1" applyAlignment="1" applyProtection="1">
      <alignment horizontal="center" wrapText="1"/>
    </xf>
    <xf numFmtId="0" fontId="51" fillId="0" borderId="26" xfId="389" applyFont="1" applyFill="1" applyBorder="1" applyAlignment="1" applyProtection="1">
      <alignment horizontal="center" wrapText="1"/>
    </xf>
    <xf numFmtId="0" fontId="51" fillId="0" borderId="27" xfId="389" applyFont="1" applyFill="1" applyBorder="1" applyAlignment="1" applyProtection="1">
      <alignment horizontal="center" wrapText="1"/>
    </xf>
    <xf numFmtId="0" fontId="62" fillId="0" borderId="29" xfId="389" applyFont="1" applyFill="1" applyBorder="1" applyAlignment="1" applyProtection="1">
      <alignment horizontal="left"/>
    </xf>
    <xf numFmtId="0" fontId="51" fillId="0" borderId="28" xfId="389" applyFont="1" applyFill="1" applyBorder="1" applyAlignment="1" applyProtection="1">
      <alignment horizontal="center" wrapText="1"/>
    </xf>
    <xf numFmtId="0" fontId="62" fillId="0" borderId="0" xfId="389" applyFont="1" applyFill="1" applyBorder="1" applyAlignment="1" applyProtection="1"/>
    <xf numFmtId="41" fontId="51" fillId="0" borderId="9" xfId="442" applyNumberFormat="1" applyFont="1" applyFill="1" applyBorder="1" applyAlignment="1" applyProtection="1">
      <alignment horizontal="right"/>
    </xf>
    <xf numFmtId="0" fontId="55" fillId="0" borderId="9" xfId="389" applyFont="1" applyFill="1" applyBorder="1" applyAlignment="1" applyProtection="1">
      <alignment wrapText="1"/>
    </xf>
    <xf numFmtId="0" fontId="55" fillId="0" borderId="0" xfId="389" applyFont="1" applyFill="1" applyBorder="1" applyAlignment="1" applyProtection="1">
      <alignment wrapText="1"/>
    </xf>
    <xf numFmtId="41" fontId="51" fillId="14" borderId="9" xfId="445" applyNumberFormat="1" applyFont="1" applyFill="1" applyBorder="1" applyProtection="1">
      <protection locked="0"/>
    </xf>
    <xf numFmtId="41" fontId="51" fillId="14" borderId="9" xfId="440" applyNumberFormat="1" applyFont="1" applyFill="1" applyBorder="1" applyAlignment="1" applyProtection="1">
      <alignment horizontal="left" vertical="top" wrapText="1"/>
      <protection locked="0"/>
    </xf>
    <xf numFmtId="0" fontId="51" fillId="14" borderId="9" xfId="440" applyFont="1" applyFill="1" applyBorder="1" applyAlignment="1" applyProtection="1">
      <alignment wrapText="1"/>
      <protection locked="0"/>
    </xf>
    <xf numFmtId="0" fontId="55" fillId="14" borderId="9" xfId="440" applyFont="1" applyFill="1" applyBorder="1" applyAlignment="1" applyProtection="1">
      <alignment wrapText="1"/>
      <protection locked="0"/>
    </xf>
    <xf numFmtId="37" fontId="51" fillId="14" borderId="9" xfId="440" applyNumberFormat="1" applyFont="1" applyFill="1" applyBorder="1" applyProtection="1">
      <protection locked="0"/>
    </xf>
    <xf numFmtId="41" fontId="55" fillId="14" borderId="9" xfId="440" applyNumberFormat="1" applyFont="1" applyFill="1" applyBorder="1" applyProtection="1">
      <protection locked="0"/>
    </xf>
    <xf numFmtId="172" fontId="51" fillId="0" borderId="0" xfId="0" applyFont="1" applyFill="1" applyAlignment="1" applyProtection="1"/>
    <xf numFmtId="172" fontId="105" fillId="0" borderId="0" xfId="0" applyFont="1" applyFill="1" applyAlignment="1" applyProtection="1"/>
    <xf numFmtId="0" fontId="51" fillId="0" borderId="0" xfId="212" quotePrefix="1" applyFont="1" applyFill="1" applyAlignment="1" applyProtection="1">
      <alignment horizontal="left"/>
    </xf>
    <xf numFmtId="172" fontId="51" fillId="0" borderId="0" xfId="0" applyFont="1" applyFill="1" applyAlignment="1" applyProtection="1">
      <alignment horizontal="center"/>
    </xf>
    <xf numFmtId="0" fontId="103" fillId="0" borderId="0" xfId="389" quotePrefix="1" applyFont="1" applyFill="1" applyAlignment="1" applyProtection="1">
      <alignment horizontal="center"/>
    </xf>
    <xf numFmtId="172" fontId="51" fillId="0" borderId="0" xfId="0" quotePrefix="1" applyFont="1" applyFill="1" applyAlignment="1" applyProtection="1">
      <alignment horizontal="center"/>
    </xf>
    <xf numFmtId="0" fontId="51" fillId="0" borderId="0" xfId="0" applyNumberFormat="1" applyFont="1" applyFill="1" applyAlignment="1" applyProtection="1">
      <alignment horizontal="center"/>
    </xf>
    <xf numFmtId="173" fontId="51" fillId="0" borderId="0" xfId="59" applyNumberFormat="1" applyFont="1" applyFill="1" applyAlignment="1" applyProtection="1"/>
    <xf numFmtId="173" fontId="51" fillId="0" borderId="0" xfId="59" applyNumberFormat="1" applyFont="1" applyFill="1" applyAlignment="1" applyProtection="1">
      <alignment horizontal="right"/>
    </xf>
    <xf numFmtId="10" fontId="51" fillId="0" borderId="0" xfId="266" applyNumberFormat="1" applyFont="1" applyFill="1" applyAlignment="1" applyProtection="1"/>
    <xf numFmtId="173" fontId="103" fillId="0" borderId="0" xfId="389" applyNumberFormat="1" applyFont="1" applyFill="1" applyAlignment="1" applyProtection="1">
      <alignment horizontal="center"/>
    </xf>
    <xf numFmtId="172" fontId="45" fillId="0" borderId="0" xfId="0" applyFont="1" applyFill="1" applyAlignment="1" applyProtection="1"/>
    <xf numFmtId="173" fontId="55" fillId="0" borderId="0" xfId="59" applyNumberFormat="1" applyFont="1" applyFill="1" applyAlignment="1" applyProtection="1">
      <alignment horizontal="left"/>
    </xf>
    <xf numFmtId="0" fontId="125" fillId="0" borderId="0" xfId="184" applyFont="1" applyFill="1" applyProtection="1"/>
    <xf numFmtId="0" fontId="55" fillId="0" borderId="0" xfId="184" applyFont="1" applyFill="1" applyProtection="1"/>
    <xf numFmtId="173" fontId="62" fillId="0" borderId="0" xfId="59" applyNumberFormat="1" applyFont="1" applyFill="1" applyAlignment="1" applyProtection="1"/>
    <xf numFmtId="0" fontId="62" fillId="0" borderId="0" xfId="212" quotePrefix="1" applyFont="1" applyFill="1" applyAlignment="1" applyProtection="1">
      <alignment horizontal="left"/>
    </xf>
    <xf numFmtId="0" fontId="55" fillId="0" borderId="0" xfId="212" quotePrefix="1" applyFont="1" applyFill="1" applyAlignment="1" applyProtection="1">
      <alignment horizontal="center"/>
    </xf>
    <xf numFmtId="174" fontId="55" fillId="0" borderId="0" xfId="93" quotePrefix="1" applyNumberFormat="1" applyFont="1" applyFill="1" applyAlignment="1" applyProtection="1">
      <alignment horizontal="left"/>
    </xf>
    <xf numFmtId="173" fontId="55" fillId="0" borderId="0" xfId="59" quotePrefix="1" applyNumberFormat="1" applyFont="1" applyFill="1" applyAlignment="1" applyProtection="1">
      <alignment horizontal="left"/>
    </xf>
    <xf numFmtId="172" fontId="45" fillId="0" borderId="8" xfId="0" applyFont="1" applyBorder="1" applyAlignment="1" applyProtection="1"/>
    <xf numFmtId="49" fontId="85" fillId="0" borderId="0" xfId="0" applyNumberFormat="1" applyFont="1" applyFill="1" applyAlignment="1" applyProtection="1">
      <alignment horizontal="center"/>
    </xf>
    <xf numFmtId="49" fontId="55" fillId="0" borderId="0" xfId="0" applyNumberFormat="1" applyFont="1" applyFill="1" applyAlignment="1" applyProtection="1">
      <alignment horizontal="center" vertical="center" wrapText="1"/>
    </xf>
    <xf numFmtId="0" fontId="55" fillId="0" borderId="0" xfId="192" applyFont="1" applyFill="1" applyAlignment="1" applyProtection="1">
      <alignment horizontal="center" vertical="center" wrapText="1"/>
    </xf>
    <xf numFmtId="0" fontId="55" fillId="0" borderId="0" xfId="206" applyNumberFormat="1" applyFont="1" applyFill="1" applyAlignment="1" applyProtection="1">
      <alignment horizontal="center" wrapText="1"/>
    </xf>
    <xf numFmtId="172" fontId="55" fillId="0" borderId="0" xfId="0" applyFont="1" applyFill="1" applyAlignment="1" applyProtection="1">
      <alignment horizontal="center" vertical="center" wrapText="1"/>
    </xf>
    <xf numFmtId="0" fontId="84" fillId="0" borderId="0" xfId="192" applyFont="1" applyFill="1" applyBorder="1" applyAlignment="1" applyProtection="1">
      <alignment horizontal="center" vertical="center" wrapText="1"/>
    </xf>
    <xf numFmtId="0" fontId="55" fillId="0" borderId="0" xfId="192" applyFont="1" applyFill="1" applyAlignment="1" applyProtection="1">
      <alignment horizontal="center"/>
    </xf>
    <xf numFmtId="0" fontId="55" fillId="0" borderId="0" xfId="212" applyFont="1" applyFill="1" applyAlignment="1" applyProtection="1">
      <alignment horizontal="center" wrapText="1"/>
    </xf>
    <xf numFmtId="49" fontId="55" fillId="0" borderId="0" xfId="0" applyNumberFormat="1" applyFont="1" applyFill="1" applyAlignment="1" applyProtection="1">
      <alignment horizontal="center"/>
    </xf>
    <xf numFmtId="0" fontId="84" fillId="0" borderId="0" xfId="192" applyFont="1" applyFill="1" applyBorder="1" applyAlignment="1" applyProtection="1">
      <alignment horizontal="center"/>
    </xf>
    <xf numFmtId="0" fontId="55" fillId="0" borderId="0" xfId="192" applyFont="1" applyFill="1" applyAlignment="1" applyProtection="1">
      <alignment horizontal="center" wrapText="1"/>
    </xf>
    <xf numFmtId="172" fontId="55" fillId="0" borderId="0" xfId="0" applyFont="1" applyFill="1" applyAlignment="1" applyProtection="1">
      <alignment horizontal="center" wrapText="1"/>
    </xf>
    <xf numFmtId="172" fontId="85" fillId="0" borderId="0" xfId="0" applyFont="1" applyFill="1" applyAlignment="1" applyProtection="1">
      <alignment horizontal="center"/>
    </xf>
    <xf numFmtId="172" fontId="85" fillId="0" borderId="0" xfId="0" applyFont="1" applyFill="1" applyBorder="1" applyAlignment="1" applyProtection="1">
      <alignment horizontal="center"/>
    </xf>
    <xf numFmtId="0" fontId="55" fillId="0" borderId="0" xfId="192" applyFont="1" applyFill="1" applyAlignment="1" applyProtection="1">
      <alignment wrapText="1"/>
    </xf>
    <xf numFmtId="0" fontId="55" fillId="0" borderId="3" xfId="192" applyFont="1" applyFill="1" applyBorder="1" applyProtection="1"/>
    <xf numFmtId="174" fontId="55" fillId="0" borderId="3" xfId="93" applyNumberFormat="1" applyFont="1" applyFill="1" applyBorder="1" applyProtection="1"/>
    <xf numFmtId="174" fontId="84" fillId="0" borderId="0" xfId="93" applyNumberFormat="1" applyFont="1" applyFill="1" applyBorder="1" applyProtection="1"/>
    <xf numFmtId="0" fontId="55" fillId="0" borderId="0" xfId="192" applyFont="1" applyFill="1" applyProtection="1"/>
    <xf numFmtId="0" fontId="84" fillId="0" borderId="0" xfId="192" applyFont="1" applyFill="1" applyBorder="1" applyProtection="1"/>
    <xf numFmtId="0" fontId="55" fillId="0" borderId="0" xfId="192" applyFont="1" applyFill="1" applyBorder="1" applyProtection="1"/>
    <xf numFmtId="174" fontId="55" fillId="0" borderId="0" xfId="93" applyNumberFormat="1" applyFont="1" applyFill="1" applyBorder="1" applyProtection="1"/>
    <xf numFmtId="0" fontId="84" fillId="0" borderId="0" xfId="192" applyFont="1" applyFill="1" applyProtection="1"/>
    <xf numFmtId="49" fontId="100" fillId="0" borderId="0" xfId="0" applyNumberFormat="1" applyFont="1" applyFill="1" applyAlignment="1" applyProtection="1">
      <alignment horizontal="center"/>
    </xf>
    <xf numFmtId="0" fontId="45" fillId="0" borderId="0" xfId="192" applyFont="1" applyFill="1" applyProtection="1"/>
    <xf numFmtId="172" fontId="45" fillId="0" borderId="0" xfId="0" applyFont="1" applyFill="1" applyAlignment="1" applyProtection="1">
      <alignment horizontal="center" vertical="center"/>
    </xf>
    <xf numFmtId="1" fontId="55" fillId="0" borderId="0" xfId="0" applyNumberFormat="1" applyFont="1" applyFill="1" applyAlignment="1" applyProtection="1">
      <alignment horizontal="center"/>
    </xf>
    <xf numFmtId="3" fontId="55" fillId="0" borderId="0" xfId="0" applyNumberFormat="1" applyFont="1" applyFill="1" applyAlignment="1" applyProtection="1"/>
    <xf numFmtId="3" fontId="55" fillId="0" borderId="8" xfId="0" applyNumberFormat="1" applyFont="1" applyFill="1" applyBorder="1" applyAlignment="1" applyProtection="1">
      <alignment horizontal="center"/>
    </xf>
    <xf numFmtId="3" fontId="55" fillId="0" borderId="0" xfId="211" applyNumberFormat="1" applyFont="1" applyFill="1" applyBorder="1" applyAlignment="1" applyProtection="1">
      <alignment horizontal="center"/>
    </xf>
    <xf numFmtId="43" fontId="55" fillId="0" borderId="0" xfId="192" applyNumberFormat="1" applyFont="1" applyFill="1" applyProtection="1"/>
    <xf numFmtId="0" fontId="55" fillId="0" borderId="0" xfId="0" applyNumberFormat="1" applyFont="1" applyFill="1" applyProtection="1"/>
    <xf numFmtId="3" fontId="55" fillId="0" borderId="0" xfId="0" applyNumberFormat="1" applyFont="1" applyFill="1" applyAlignment="1" applyProtection="1">
      <alignment horizontal="center"/>
    </xf>
    <xf numFmtId="10" fontId="55" fillId="0" borderId="8" xfId="266" applyNumberFormat="1" applyFont="1" applyFill="1" applyBorder="1" applyAlignment="1" applyProtection="1"/>
    <xf numFmtId="172" fontId="55" fillId="0" borderId="8" xfId="0" applyFont="1" applyFill="1" applyBorder="1" applyAlignment="1" applyProtection="1"/>
    <xf numFmtId="49" fontId="55" fillId="0" borderId="0" xfId="0" applyNumberFormat="1" applyFont="1" applyFill="1" applyAlignment="1" applyProtection="1">
      <alignment horizontal="center" vertical="center"/>
    </xf>
    <xf numFmtId="172" fontId="55" fillId="0" borderId="0" xfId="764" applyFont="1" applyFill="1" applyAlignment="1" applyProtection="1"/>
    <xf numFmtId="0" fontId="51" fillId="0" borderId="0" xfId="184" applyFont="1" applyFill="1" applyProtection="1"/>
    <xf numFmtId="0" fontId="51" fillId="0" borderId="0" xfId="184" applyFont="1" applyFill="1" applyAlignment="1" applyProtection="1">
      <alignment horizontal="center"/>
    </xf>
    <xf numFmtId="0" fontId="51" fillId="0" borderId="0" xfId="59" applyNumberFormat="1" applyFont="1" applyFill="1" applyAlignment="1" applyProtection="1">
      <alignment horizontal="center"/>
    </xf>
    <xf numFmtId="172" fontId="106" fillId="0" borderId="0" xfId="0" applyFont="1" applyFill="1" applyProtection="1"/>
    <xf numFmtId="172" fontId="51" fillId="0" borderId="0" xfId="0" applyFont="1" applyFill="1" applyProtection="1"/>
    <xf numFmtId="0" fontId="51" fillId="0" borderId="0" xfId="184" applyFont="1" applyFill="1" applyAlignment="1" applyProtection="1"/>
    <xf numFmtId="172" fontId="51" fillId="0" borderId="0" xfId="0" applyFont="1" applyFill="1" applyAlignment="1" applyProtection="1">
      <alignment horizontal="left"/>
    </xf>
    <xf numFmtId="173" fontId="51" fillId="0" borderId="0" xfId="59" applyNumberFormat="1" applyFont="1" applyFill="1" applyAlignment="1" applyProtection="1">
      <alignment wrapText="1"/>
    </xf>
    <xf numFmtId="173" fontId="51" fillId="0" borderId="0" xfId="59" applyNumberFormat="1" applyFont="1" applyFill="1" applyBorder="1" applyAlignment="1" applyProtection="1">
      <alignment wrapText="1"/>
    </xf>
    <xf numFmtId="0" fontId="51" fillId="0" borderId="0" xfId="184" applyFont="1" applyFill="1" applyAlignment="1" applyProtection="1">
      <alignment horizontal="left" vertical="center" wrapText="1"/>
    </xf>
    <xf numFmtId="0" fontId="105" fillId="0" borderId="0" xfId="184" applyFont="1" applyFill="1" applyProtection="1"/>
    <xf numFmtId="0" fontId="51" fillId="0" borderId="0" xfId="184" applyFont="1" applyFill="1" applyAlignment="1" applyProtection="1">
      <alignment horizontal="left" wrapText="1"/>
    </xf>
    <xf numFmtId="172" fontId="51" fillId="0" borderId="0" xfId="0" applyFont="1" applyFill="1" applyAlignment="1" applyProtection="1">
      <alignment horizontal="left" vertical="center"/>
    </xf>
    <xf numFmtId="172" fontId="51" fillId="0" borderId="0" xfId="0" applyFont="1" applyFill="1" applyAlignment="1" applyProtection="1">
      <alignment horizontal="left" vertical="center" wrapText="1"/>
    </xf>
    <xf numFmtId="173" fontId="51" fillId="0" borderId="0" xfId="59" applyNumberFormat="1" applyFont="1" applyFill="1" applyAlignment="1" applyProtection="1">
      <alignment vertical="center" wrapText="1"/>
    </xf>
    <xf numFmtId="172" fontId="51" fillId="0" borderId="0" xfId="0" applyFont="1" applyFill="1" applyAlignment="1" applyProtection="1">
      <alignment horizontal="left" wrapText="1"/>
    </xf>
    <xf numFmtId="174" fontId="51" fillId="0" borderId="0" xfId="0" applyNumberFormat="1" applyFont="1" applyFill="1" applyProtection="1"/>
    <xf numFmtId="173" fontId="51" fillId="0" borderId="0" xfId="397" applyNumberFormat="1" applyFont="1" applyFill="1" applyAlignment="1" applyProtection="1">
      <alignment wrapText="1"/>
    </xf>
    <xf numFmtId="172" fontId="109" fillId="0" borderId="0" xfId="0" applyFont="1" applyFill="1" applyAlignment="1" applyProtection="1">
      <alignment wrapText="1"/>
    </xf>
    <xf numFmtId="173" fontId="51" fillId="0" borderId="0" xfId="59" applyNumberFormat="1" applyFont="1" applyFill="1" applyBorder="1" applyAlignment="1" applyProtection="1"/>
    <xf numFmtId="172" fontId="107" fillId="0" borderId="0" xfId="0" applyFont="1" applyFill="1" applyAlignment="1" applyProtection="1"/>
    <xf numFmtId="0" fontId="51" fillId="0" borderId="0" xfId="184" applyFont="1" applyFill="1" applyAlignment="1" applyProtection="1">
      <alignment vertical="center" wrapText="1"/>
    </xf>
    <xf numFmtId="0" fontId="51" fillId="0" borderId="0" xfId="59" applyNumberFormat="1" applyFont="1" applyFill="1" applyAlignment="1" applyProtection="1">
      <alignment horizontal="center" vertical="top"/>
    </xf>
    <xf numFmtId="172" fontId="51" fillId="0" borderId="0" xfId="0" applyFont="1" applyFill="1" applyAlignment="1" applyProtection="1">
      <alignment wrapText="1"/>
    </xf>
    <xf numFmtId="172" fontId="51" fillId="0" borderId="0" xfId="0" applyFont="1" applyFill="1" applyAlignment="1" applyProtection="1">
      <alignment vertical="center" wrapText="1"/>
    </xf>
    <xf numFmtId="172" fontId="51" fillId="0" borderId="0" xfId="0" applyFont="1" applyFill="1" applyAlignment="1" applyProtection="1">
      <alignment horizontal="center" vertical="center"/>
    </xf>
    <xf numFmtId="173" fontId="51" fillId="0" borderId="0" xfId="0" applyNumberFormat="1" applyFont="1" applyFill="1" applyProtection="1"/>
    <xf numFmtId="0" fontId="105" fillId="0" borderId="0" xfId="59" applyNumberFormat="1" applyFont="1" applyFill="1" applyAlignment="1" applyProtection="1">
      <alignment horizontal="center"/>
    </xf>
    <xf numFmtId="173" fontId="105" fillId="0" borderId="0" xfId="59" applyNumberFormat="1" applyFont="1" applyFill="1" applyAlignment="1" applyProtection="1"/>
    <xf numFmtId="0" fontId="51" fillId="0" borderId="0" xfId="184" applyFont="1" applyFill="1" applyAlignment="1" applyProtection="1">
      <alignment horizontal="center" wrapText="1"/>
    </xf>
    <xf numFmtId="173" fontId="51" fillId="0" borderId="0" xfId="184" applyNumberFormat="1" applyFont="1" applyFill="1" applyProtection="1"/>
    <xf numFmtId="10" fontId="51" fillId="0" borderId="0" xfId="184" applyNumberFormat="1" applyFont="1" applyFill="1" applyProtection="1"/>
    <xf numFmtId="174" fontId="51" fillId="0" borderId="0" xfId="93" applyNumberFormat="1" applyFont="1" applyFill="1" applyAlignment="1" applyProtection="1"/>
    <xf numFmtId="174" fontId="51" fillId="0" borderId="0" xfId="93" applyNumberFormat="1" applyFont="1" applyFill="1" applyProtection="1"/>
    <xf numFmtId="0" fontId="51" fillId="0" borderId="9" xfId="184" applyFont="1" applyFill="1" applyBorder="1" applyProtection="1"/>
    <xf numFmtId="0" fontId="51" fillId="0" borderId="9" xfId="184" applyFont="1" applyFill="1" applyBorder="1" applyAlignment="1" applyProtection="1">
      <alignment horizontal="center" wrapText="1"/>
    </xf>
    <xf numFmtId="0" fontId="51" fillId="0" borderId="9" xfId="184" applyFont="1" applyFill="1" applyBorder="1" applyAlignment="1" applyProtection="1">
      <alignment horizontal="center"/>
    </xf>
    <xf numFmtId="174" fontId="51" fillId="0" borderId="9" xfId="93" applyNumberFormat="1" applyFont="1" applyFill="1" applyBorder="1" applyAlignment="1" applyProtection="1"/>
    <xf numFmtId="174" fontId="51" fillId="0" borderId="9" xfId="93" applyNumberFormat="1" applyFont="1" applyFill="1" applyBorder="1" applyProtection="1"/>
    <xf numFmtId="174" fontId="51" fillId="0" borderId="9" xfId="184" applyNumberFormat="1" applyFont="1" applyFill="1" applyBorder="1" applyProtection="1"/>
    <xf numFmtId="173" fontId="51" fillId="0" borderId="9" xfId="59" applyNumberFormat="1" applyFont="1" applyFill="1" applyBorder="1" applyAlignment="1" applyProtection="1"/>
    <xf numFmtId="173" fontId="51" fillId="0" borderId="9" xfId="184" applyNumberFormat="1" applyFont="1" applyFill="1" applyBorder="1" applyProtection="1"/>
    <xf numFmtId="173" fontId="51" fillId="0" borderId="9" xfId="59" applyNumberFormat="1" applyFont="1" applyFill="1" applyBorder="1" applyProtection="1"/>
    <xf numFmtId="0" fontId="51" fillId="0" borderId="9" xfId="184" applyFont="1" applyFill="1" applyBorder="1" applyAlignment="1" applyProtection="1">
      <alignment horizontal="left" indent="2"/>
    </xf>
    <xf numFmtId="0" fontId="51" fillId="0" borderId="9" xfId="184" applyFont="1" applyFill="1" applyBorder="1" applyAlignment="1" applyProtection="1">
      <alignment horizontal="right"/>
    </xf>
    <xf numFmtId="9" fontId="51" fillId="0" borderId="9" xfId="184" applyNumberFormat="1" applyFont="1" applyFill="1" applyBorder="1" applyProtection="1"/>
    <xf numFmtId="10" fontId="51" fillId="0" borderId="9" xfId="184" applyNumberFormat="1" applyFont="1" applyFill="1" applyBorder="1" applyProtection="1"/>
    <xf numFmtId="9" fontId="51" fillId="0" borderId="0" xfId="184" applyNumberFormat="1" applyFont="1" applyFill="1" applyProtection="1"/>
    <xf numFmtId="9" fontId="51" fillId="14" borderId="0" xfId="184" applyNumberFormat="1" applyFont="1" applyFill="1" applyProtection="1">
      <protection locked="0"/>
    </xf>
    <xf numFmtId="0" fontId="105" fillId="0" borderId="0" xfId="212" applyFont="1" applyFill="1" applyAlignment="1" applyProtection="1">
      <alignment horizontal="center"/>
    </xf>
    <xf numFmtId="0" fontId="105" fillId="0" borderId="0" xfId="212" applyFont="1" applyFill="1" applyAlignment="1" applyProtection="1">
      <alignment horizontal="center" wrapText="1"/>
    </xf>
    <xf numFmtId="172" fontId="51" fillId="0" borderId="0" xfId="0" applyFont="1" applyFill="1" applyAlignment="1" applyProtection="1">
      <alignment horizontal="center" wrapText="1"/>
    </xf>
    <xf numFmtId="1" fontId="51" fillId="0" borderId="1" xfId="0" applyNumberFormat="1" applyFont="1" applyFill="1" applyBorder="1" applyAlignment="1" applyProtection="1">
      <alignment horizontal="center"/>
    </xf>
    <xf numFmtId="172" fontId="51" fillId="0" borderId="1" xfId="0" applyFont="1" applyFill="1" applyBorder="1" applyProtection="1"/>
    <xf numFmtId="0" fontId="105" fillId="0" borderId="0" xfId="399" applyFont="1" applyFill="1" applyBorder="1" applyAlignment="1" applyProtection="1">
      <alignment horizontal="center"/>
    </xf>
    <xf numFmtId="0" fontId="51" fillId="0" borderId="0" xfId="59" applyNumberFormat="1" applyFont="1" applyFill="1" applyAlignment="1" applyProtection="1">
      <alignment horizontal="left"/>
    </xf>
    <xf numFmtId="1" fontId="51" fillId="0" borderId="0" xfId="399" applyNumberFormat="1" applyFont="1" applyFill="1" applyBorder="1" applyAlignment="1" applyProtection="1">
      <alignment horizontal="center"/>
    </xf>
    <xf numFmtId="173" fontId="51" fillId="0" borderId="1" xfId="399" applyNumberFormat="1" applyFont="1" applyFill="1" applyBorder="1" applyAlignment="1" applyProtection="1">
      <alignment horizontal="center"/>
    </xf>
    <xf numFmtId="275" fontId="51" fillId="0" borderId="0" xfId="399" applyNumberFormat="1" applyFont="1" applyFill="1" applyBorder="1" applyAlignment="1" applyProtection="1">
      <alignment horizontal="left"/>
    </xf>
    <xf numFmtId="276" fontId="51" fillId="0" borderId="0" xfId="399" applyNumberFormat="1" applyFont="1" applyFill="1" applyBorder="1" applyAlignment="1" applyProtection="1">
      <alignment horizontal="center"/>
    </xf>
    <xf numFmtId="174" fontId="51" fillId="0" borderId="0" xfId="93" applyNumberFormat="1" applyFont="1" applyFill="1" applyBorder="1" applyProtection="1"/>
    <xf numFmtId="173" fontId="51" fillId="0" borderId="0" xfId="59" applyNumberFormat="1" applyFont="1" applyFill="1" applyBorder="1" applyProtection="1"/>
    <xf numFmtId="276" fontId="51" fillId="0" borderId="0" xfId="0" applyNumberFormat="1" applyFont="1" applyFill="1" applyAlignment="1" applyProtection="1">
      <alignment horizontal="center"/>
    </xf>
    <xf numFmtId="0" fontId="51" fillId="0" borderId="0" xfId="399" applyFont="1" applyFill="1" applyBorder="1" applyAlignment="1" applyProtection="1">
      <alignment horizontal="left"/>
    </xf>
    <xf numFmtId="172" fontId="105" fillId="0" borderId="0" xfId="0" applyFont="1" applyFill="1" applyProtection="1"/>
    <xf numFmtId="174" fontId="51" fillId="0" borderId="7" xfId="93" applyNumberFormat="1" applyFont="1" applyFill="1" applyBorder="1" applyAlignment="1" applyProtection="1"/>
    <xf numFmtId="277" fontId="51" fillId="0" borderId="7" xfId="93" applyNumberFormat="1" applyFont="1" applyFill="1" applyBorder="1" applyAlignment="1" applyProtection="1"/>
    <xf numFmtId="172" fontId="51" fillId="0" borderId="0" xfId="0" applyFont="1" applyFill="1" applyAlignment="1" applyProtection="1">
      <alignment horizontal="right"/>
    </xf>
    <xf numFmtId="10" fontId="51" fillId="0" borderId="0" xfId="266" applyNumberFormat="1" applyFont="1" applyFill="1" applyProtection="1"/>
    <xf numFmtId="173" fontId="51" fillId="0" borderId="0" xfId="59" applyNumberFormat="1" applyFont="1" applyFill="1" applyProtection="1"/>
    <xf numFmtId="169" fontId="51" fillId="0" borderId="0" xfId="0" applyNumberFormat="1" applyFont="1" applyFill="1" applyAlignment="1" applyProtection="1"/>
    <xf numFmtId="173" fontId="51" fillId="0" borderId="0" xfId="59" quotePrefix="1" applyNumberFormat="1" applyFont="1" applyFill="1" applyAlignment="1" applyProtection="1">
      <alignment horizontal="left"/>
    </xf>
    <xf numFmtId="172" fontId="51" fillId="0" borderId="8" xfId="0" applyFont="1" applyFill="1" applyBorder="1" applyAlignment="1" applyProtection="1"/>
    <xf numFmtId="172" fontId="51" fillId="0" borderId="0" xfId="0" applyFont="1" applyProtection="1"/>
    <xf numFmtId="172" fontId="105" fillId="0" borderId="0" xfId="0" applyFont="1" applyFill="1" applyAlignment="1" applyProtection="1">
      <alignment horizontal="center"/>
    </xf>
    <xf numFmtId="172" fontId="105" fillId="0" borderId="0" xfId="0" applyFont="1" applyProtection="1"/>
    <xf numFmtId="172" fontId="51" fillId="0" borderId="0" xfId="0" applyFont="1" applyAlignment="1" applyProtection="1">
      <alignment horizontal="center"/>
    </xf>
    <xf numFmtId="172" fontId="105" fillId="0" borderId="0" xfId="0" applyFont="1" applyBorder="1" applyAlignment="1" applyProtection="1">
      <alignment horizontal="center"/>
    </xf>
    <xf numFmtId="0" fontId="51" fillId="0" borderId="0" xfId="0" applyNumberFormat="1" applyFont="1" applyAlignment="1" applyProtection="1">
      <alignment horizontal="center"/>
    </xf>
    <xf numFmtId="172" fontId="51" fillId="0" borderId="0" xfId="0" applyFont="1" applyAlignment="1" applyProtection="1">
      <alignment horizontal="right"/>
    </xf>
    <xf numFmtId="37" fontId="51" fillId="0" borderId="0" xfId="0" applyNumberFormat="1" applyFont="1" applyAlignment="1" applyProtection="1">
      <alignment horizontal="right" wrapText="1"/>
    </xf>
    <xf numFmtId="172" fontId="51" fillId="0" borderId="0" xfId="0" applyFont="1" applyAlignment="1" applyProtection="1">
      <alignment horizontal="right" wrapText="1"/>
    </xf>
    <xf numFmtId="0" fontId="105" fillId="0" borderId="0" xfId="0" applyNumberFormat="1" applyFont="1" applyFill="1" applyBorder="1" applyAlignment="1" applyProtection="1">
      <alignment horizontal="center"/>
    </xf>
    <xf numFmtId="37" fontId="51" fillId="0" borderId="0" xfId="0" applyNumberFormat="1" applyFont="1" applyFill="1" applyAlignment="1" applyProtection="1">
      <alignment horizontal="right"/>
    </xf>
    <xf numFmtId="37" fontId="51" fillId="0" borderId="0" xfId="0" applyNumberFormat="1" applyFont="1" applyAlignment="1" applyProtection="1">
      <alignment horizontal="right"/>
    </xf>
    <xf numFmtId="0" fontId="51" fillId="0" borderId="0" xfId="0" applyNumberFormat="1" applyFont="1" applyFill="1" applyBorder="1" applyAlignment="1" applyProtection="1">
      <alignment horizontal="left"/>
    </xf>
    <xf numFmtId="172" fontId="105" fillId="0" borderId="0" xfId="0" applyFont="1" applyFill="1" applyBorder="1" applyProtection="1"/>
    <xf numFmtId="37" fontId="105" fillId="0" borderId="0" xfId="0" applyNumberFormat="1" applyFont="1" applyFill="1" applyProtection="1"/>
    <xf numFmtId="41" fontId="51" fillId="0" borderId="0" xfId="0" applyNumberFormat="1" applyFont="1" applyFill="1" applyBorder="1" applyAlignment="1" applyProtection="1">
      <alignment horizontal="right"/>
    </xf>
    <xf numFmtId="37" fontId="51" fillId="0" borderId="0" xfId="0" applyNumberFormat="1" applyFont="1" applyFill="1" applyProtection="1"/>
    <xf numFmtId="41" fontId="117" fillId="0" borderId="0" xfId="0" applyNumberFormat="1" applyFont="1" applyFill="1" applyBorder="1" applyAlignment="1" applyProtection="1">
      <alignment horizontal="left"/>
    </xf>
    <xf numFmtId="172" fontId="107" fillId="0" borderId="0" xfId="0" applyFont="1" applyFill="1" applyProtection="1"/>
    <xf numFmtId="37" fontId="51" fillId="0" borderId="0" xfId="0" applyNumberFormat="1" applyFont="1" applyFill="1" applyAlignment="1" applyProtection="1">
      <alignment horizontal="right" wrapText="1"/>
    </xf>
    <xf numFmtId="37" fontId="51" fillId="14" borderId="0" xfId="0" applyNumberFormat="1" applyFont="1" applyFill="1" applyProtection="1">
      <protection locked="0"/>
    </xf>
    <xf numFmtId="173" fontId="51" fillId="14" borderId="0" xfId="59" applyNumberFormat="1" applyFont="1" applyFill="1" applyAlignment="1" applyProtection="1">
      <alignment horizontal="right"/>
      <protection locked="0"/>
    </xf>
    <xf numFmtId="0" fontId="45" fillId="0" borderId="0" xfId="383" applyNumberFormat="1" applyFont="1" applyFill="1" applyAlignment="1" applyProtection="1">
      <alignment horizontal="center"/>
    </xf>
    <xf numFmtId="0" fontId="45" fillId="0" borderId="0" xfId="383" applyFont="1" applyFill="1" applyBorder="1" applyAlignment="1" applyProtection="1">
      <alignment horizontal="center"/>
    </xf>
    <xf numFmtId="274" fontId="45" fillId="0" borderId="0" xfId="266" applyNumberFormat="1" applyFont="1" applyFill="1" applyBorder="1" applyAlignment="1" applyProtection="1">
      <alignment horizontal="center"/>
    </xf>
    <xf numFmtId="1" fontId="45" fillId="0" borderId="0" xfId="201" applyNumberFormat="1" applyFont="1" applyFill="1" applyAlignment="1" applyProtection="1">
      <alignment horizontal="left"/>
    </xf>
    <xf numFmtId="172" fontId="121" fillId="0" borderId="0" xfId="201" quotePrefix="1" applyFont="1" applyFill="1" applyAlignment="1" applyProtection="1">
      <alignment horizontal="left"/>
    </xf>
    <xf numFmtId="172" fontId="96" fillId="0" borderId="0" xfId="201" applyFont="1" applyFill="1" applyAlignment="1" applyProtection="1"/>
    <xf numFmtId="0" fontId="76" fillId="0" borderId="0" xfId="383" applyFont="1" applyFill="1" applyAlignment="1" applyProtection="1">
      <alignment horizontal="center" wrapText="1"/>
    </xf>
    <xf numFmtId="0" fontId="76" fillId="0" borderId="0" xfId="383" applyFont="1" applyFill="1" applyBorder="1" applyAlignment="1" applyProtection="1">
      <alignment horizontal="center" wrapText="1"/>
    </xf>
    <xf numFmtId="172" fontId="45" fillId="0" borderId="0" xfId="201" applyFont="1" applyFill="1" applyAlignment="1" applyProtection="1"/>
    <xf numFmtId="43" fontId="45" fillId="0" borderId="0" xfId="59" applyFont="1" applyFill="1" applyAlignment="1" applyProtection="1"/>
    <xf numFmtId="10" fontId="122" fillId="0" borderId="0" xfId="383" applyNumberFormat="1" applyFont="1" applyFill="1" applyBorder="1" applyProtection="1"/>
    <xf numFmtId="43" fontId="76" fillId="0" borderId="0" xfId="59" applyFont="1" applyFill="1" applyBorder="1" applyProtection="1"/>
    <xf numFmtId="0" fontId="76" fillId="0" borderId="0" xfId="383" applyFont="1" applyFill="1" applyBorder="1" applyProtection="1"/>
    <xf numFmtId="0" fontId="45" fillId="0" borderId="0" xfId="383" applyNumberFormat="1" applyFont="1" applyFill="1" applyBorder="1" applyAlignment="1" applyProtection="1">
      <alignment horizontal="center"/>
    </xf>
    <xf numFmtId="0" fontId="76" fillId="0" borderId="0" xfId="383" applyFont="1" applyFill="1" applyBorder="1" applyAlignment="1" applyProtection="1">
      <alignment horizontal="center"/>
    </xf>
    <xf numFmtId="10" fontId="76" fillId="0" borderId="0" xfId="383" applyNumberFormat="1" applyFont="1" applyFill="1" applyBorder="1" applyProtection="1"/>
    <xf numFmtId="172" fontId="45" fillId="0" borderId="0" xfId="201" quotePrefix="1" applyFont="1" applyFill="1" applyBorder="1" applyAlignment="1" applyProtection="1">
      <alignment horizontal="left"/>
    </xf>
    <xf numFmtId="43" fontId="45" fillId="0" borderId="0" xfId="59" applyFont="1" applyFill="1" applyBorder="1" applyAlignment="1" applyProtection="1"/>
    <xf numFmtId="0" fontId="123" fillId="0" borderId="0" xfId="383" applyFont="1" applyFill="1" applyBorder="1" applyProtection="1"/>
    <xf numFmtId="172" fontId="45" fillId="0" borderId="0" xfId="201" applyFont="1" applyFill="1" applyAlignment="1" applyProtection="1">
      <alignment horizontal="left"/>
    </xf>
    <xf numFmtId="182" fontId="45" fillId="0" borderId="0" xfId="59" applyNumberFormat="1" applyFont="1" applyFill="1" applyAlignment="1" applyProtection="1"/>
    <xf numFmtId="172" fontId="45" fillId="0" borderId="8" xfId="201" applyFont="1" applyFill="1" applyBorder="1" applyAlignment="1" applyProtection="1"/>
    <xf numFmtId="172" fontId="45" fillId="0" borderId="0" xfId="201" applyFont="1" applyFill="1" applyAlignment="1" applyProtection="1">
      <alignment horizontal="center"/>
    </xf>
    <xf numFmtId="0" fontId="76" fillId="0" borderId="0" xfId="383" applyFont="1" applyFill="1" applyProtection="1"/>
    <xf numFmtId="172" fontId="55" fillId="0" borderId="0" xfId="0" applyFont="1" applyFill="1" applyBorder="1" applyAlignment="1" applyProtection="1">
      <alignment horizontal="center"/>
    </xf>
    <xf numFmtId="172" fontId="55" fillId="0" borderId="3" xfId="0" applyFont="1" applyFill="1" applyBorder="1" applyAlignment="1" applyProtection="1">
      <alignment horizontal="center"/>
    </xf>
    <xf numFmtId="172" fontId="55" fillId="0" borderId="20" xfId="0" applyFont="1" applyFill="1" applyBorder="1" applyAlignment="1" applyProtection="1">
      <alignment horizontal="center"/>
    </xf>
    <xf numFmtId="172" fontId="55" fillId="0" borderId="10" xfId="0" applyFont="1" applyFill="1" applyBorder="1" applyProtection="1"/>
    <xf numFmtId="172" fontId="55" fillId="0" borderId="12" xfId="201" applyFont="1" applyFill="1" applyBorder="1" applyAlignment="1" applyProtection="1"/>
    <xf numFmtId="172" fontId="55" fillId="0" borderId="12" xfId="0" applyFont="1" applyFill="1" applyBorder="1" applyAlignment="1" applyProtection="1">
      <alignment horizontal="center"/>
    </xf>
    <xf numFmtId="172" fontId="55" fillId="0" borderId="0" xfId="201" applyFont="1" applyFill="1" applyBorder="1" applyAlignment="1" applyProtection="1">
      <alignment horizontal="center" wrapText="1"/>
    </xf>
    <xf numFmtId="172" fontId="55" fillId="0" borderId="0" xfId="0" applyFont="1" applyFill="1" applyBorder="1" applyAlignment="1" applyProtection="1">
      <alignment horizontal="center" wrapText="1"/>
    </xf>
    <xf numFmtId="172" fontId="55" fillId="0" borderId="12" xfId="201" applyFont="1" applyFill="1" applyBorder="1" applyAlignment="1" applyProtection="1">
      <alignment horizontal="center"/>
    </xf>
    <xf numFmtId="172" fontId="55" fillId="0" borderId="12" xfId="0" applyFont="1" applyFill="1" applyBorder="1" applyAlignment="1" applyProtection="1">
      <alignment horizontal="center" wrapText="1"/>
    </xf>
    <xf numFmtId="43" fontId="55" fillId="0" borderId="0" xfId="59" applyFont="1" applyFill="1" applyBorder="1" applyProtection="1"/>
    <xf numFmtId="173" fontId="55" fillId="0" borderId="12" xfId="59" applyNumberFormat="1" applyFont="1" applyFill="1" applyBorder="1" applyProtection="1"/>
    <xf numFmtId="273" fontId="55" fillId="0" borderId="0" xfId="59" applyNumberFormat="1" applyFont="1" applyFill="1" applyBorder="1" applyAlignment="1" applyProtection="1"/>
    <xf numFmtId="43" fontId="55" fillId="0" borderId="12" xfId="59" applyFont="1" applyFill="1" applyBorder="1" applyProtection="1"/>
    <xf numFmtId="172" fontId="55" fillId="0" borderId="17" xfId="0" applyFont="1" applyFill="1" applyBorder="1" applyProtection="1"/>
    <xf numFmtId="172" fontId="55" fillId="0" borderId="1" xfId="0" applyFont="1" applyFill="1" applyBorder="1" applyProtection="1"/>
    <xf numFmtId="43" fontId="55" fillId="0" borderId="1" xfId="59" applyFont="1" applyFill="1" applyBorder="1" applyProtection="1"/>
    <xf numFmtId="43" fontId="55" fillId="0" borderId="21" xfId="59" applyFont="1" applyFill="1" applyBorder="1" applyProtection="1"/>
    <xf numFmtId="10" fontId="55" fillId="0" borderId="0" xfId="266" applyNumberFormat="1" applyFont="1" applyFill="1" applyBorder="1" applyProtection="1"/>
    <xf numFmtId="172" fontId="105" fillId="0" borderId="0" xfId="201" applyFont="1" applyFill="1" applyAlignment="1" applyProtection="1"/>
    <xf numFmtId="172" fontId="51" fillId="0" borderId="0" xfId="201" applyFont="1" applyFill="1" applyAlignment="1" applyProtection="1">
      <alignment horizontal="center"/>
    </xf>
    <xf numFmtId="172" fontId="51" fillId="0" borderId="0" xfId="0" applyFont="1" applyFill="1" applyBorder="1" applyAlignment="1" applyProtection="1"/>
    <xf numFmtId="172" fontId="106" fillId="0" borderId="0" xfId="0" applyFont="1" applyFill="1" applyAlignment="1" applyProtection="1"/>
    <xf numFmtId="0" fontId="51" fillId="0" borderId="0" xfId="187" applyFont="1" applyFill="1" applyBorder="1" applyAlignment="1" applyProtection="1">
      <alignment horizontal="center"/>
    </xf>
    <xf numFmtId="0" fontId="107" fillId="0" borderId="0" xfId="187" applyFont="1" applyFill="1" applyBorder="1" applyAlignment="1" applyProtection="1">
      <alignment horizontal="left"/>
    </xf>
    <xf numFmtId="0" fontId="51" fillId="0" borderId="0" xfId="187" applyFont="1" applyFill="1" applyBorder="1" applyAlignment="1" applyProtection="1"/>
    <xf numFmtId="49" fontId="51" fillId="0" borderId="0" xfId="187" applyNumberFormat="1" applyFont="1" applyFill="1" applyBorder="1" applyAlignment="1" applyProtection="1">
      <alignment horizontal="center"/>
    </xf>
    <xf numFmtId="0" fontId="51" fillId="0" borderId="0" xfId="187" applyFont="1" applyFill="1" applyBorder="1" applyProtection="1"/>
    <xf numFmtId="172" fontId="105" fillId="0" borderId="1" xfId="201" applyFont="1" applyFill="1" applyBorder="1" applyAlignment="1" applyProtection="1">
      <alignment horizontal="center" wrapText="1"/>
    </xf>
    <xf numFmtId="172" fontId="105" fillId="0" borderId="0" xfId="201" applyFont="1" applyFill="1" applyAlignment="1" applyProtection="1">
      <alignment horizontal="center" wrapText="1"/>
    </xf>
    <xf numFmtId="3" fontId="51" fillId="0" borderId="0" xfId="187" applyNumberFormat="1" applyFont="1" applyFill="1" applyBorder="1" applyAlignment="1" applyProtection="1"/>
    <xf numFmtId="0" fontId="51" fillId="0" borderId="0" xfId="204" applyFont="1" applyFill="1" applyBorder="1" applyAlignment="1" applyProtection="1"/>
    <xf numFmtId="173" fontId="51" fillId="0" borderId="1" xfId="59" applyNumberFormat="1" applyFont="1" applyFill="1" applyBorder="1" applyAlignment="1" applyProtection="1"/>
    <xf numFmtId="172" fontId="51" fillId="0" borderId="0" xfId="201" applyFont="1" applyFill="1" applyBorder="1" applyAlignment="1" applyProtection="1"/>
    <xf numFmtId="172" fontId="51" fillId="0" borderId="8" xfId="201" applyFont="1" applyFill="1" applyBorder="1" applyAlignment="1" applyProtection="1"/>
    <xf numFmtId="172" fontId="51" fillId="0" borderId="0" xfId="201" applyFont="1" applyFill="1" applyBorder="1" applyAlignment="1" applyProtection="1">
      <alignment horizontal="center" vertical="top"/>
    </xf>
    <xf numFmtId="172" fontId="51" fillId="0" borderId="0" xfId="201" applyFont="1" applyFill="1" applyBorder="1" applyAlignment="1" applyProtection="1">
      <alignment horizontal="left"/>
    </xf>
    <xf numFmtId="172" fontId="51" fillId="0" borderId="0" xfId="201" applyFont="1" applyFill="1" applyBorder="1" applyAlignment="1" applyProtection="1">
      <alignment vertical="top"/>
    </xf>
    <xf numFmtId="0" fontId="51" fillId="0" borderId="0" xfId="0" applyNumberFormat="1" applyFont="1" applyFill="1" applyAlignment="1" applyProtection="1">
      <alignment horizontal="center" vertical="center"/>
    </xf>
    <xf numFmtId="9" fontId="51" fillId="0" borderId="0" xfId="266" applyFont="1" applyFill="1" applyAlignment="1" applyProtection="1"/>
    <xf numFmtId="172" fontId="51" fillId="0" borderId="0" xfId="0" applyFont="1" applyAlignment="1" applyProtection="1"/>
    <xf numFmtId="0" fontId="45" fillId="0" borderId="0" xfId="0" applyNumberFormat="1" applyFont="1" applyAlignment="1" applyProtection="1">
      <alignment horizontal="center"/>
    </xf>
    <xf numFmtId="172" fontId="45" fillId="0" borderId="0" xfId="0" applyFont="1" applyProtection="1"/>
    <xf numFmtId="173" fontId="45" fillId="0" borderId="0" xfId="59" applyNumberFormat="1" applyFont="1" applyProtection="1"/>
    <xf numFmtId="172" fontId="45" fillId="0" borderId="0" xfId="0" applyFont="1" applyBorder="1" applyProtection="1"/>
    <xf numFmtId="280" fontId="45" fillId="0" borderId="0" xfId="0" applyNumberFormat="1" applyFont="1" applyBorder="1" applyProtection="1"/>
    <xf numFmtId="0" fontId="45" fillId="0" borderId="0" xfId="398" applyFont="1" applyAlignment="1" applyProtection="1">
      <alignment horizontal="center"/>
    </xf>
    <xf numFmtId="43" fontId="45" fillId="0" borderId="0" xfId="59" applyFont="1" applyAlignment="1" applyProtection="1">
      <alignment horizontal="center"/>
    </xf>
    <xf numFmtId="10" fontId="45" fillId="0" borderId="0" xfId="266" applyNumberFormat="1" applyFont="1" applyAlignment="1" applyProtection="1">
      <alignment horizontal="center"/>
    </xf>
    <xf numFmtId="0" fontId="45" fillId="0" borderId="0" xfId="398" applyFont="1" applyProtection="1"/>
    <xf numFmtId="0" fontId="45" fillId="0" borderId="1" xfId="398" applyFont="1" applyBorder="1" applyAlignment="1" applyProtection="1">
      <alignment horizontal="center"/>
    </xf>
    <xf numFmtId="43" fontId="45" fillId="0" borderId="1" xfId="59" applyFont="1" applyBorder="1" applyAlignment="1" applyProtection="1">
      <alignment horizontal="center"/>
    </xf>
    <xf numFmtId="173" fontId="45" fillId="0" borderId="1" xfId="59" applyNumberFormat="1" applyFont="1" applyBorder="1" applyAlignment="1" applyProtection="1">
      <alignment horizontal="center"/>
    </xf>
    <xf numFmtId="0" fontId="112" fillId="0" borderId="0" xfId="398" applyFont="1" applyAlignment="1" applyProtection="1">
      <alignment horizontal="center" vertical="center"/>
    </xf>
    <xf numFmtId="0" fontId="113" fillId="0" borderId="0" xfId="398" applyFont="1" applyAlignment="1" applyProtection="1">
      <alignment horizontal="center" vertical="center"/>
    </xf>
    <xf numFmtId="43" fontId="113" fillId="0" borderId="0" xfId="59" applyFont="1" applyAlignment="1" applyProtection="1">
      <alignment horizontal="center" vertical="center"/>
    </xf>
    <xf numFmtId="10" fontId="113" fillId="0" borderId="0" xfId="266" applyNumberFormat="1" applyFont="1" applyAlignment="1" applyProtection="1">
      <alignment horizontal="center" vertical="center"/>
    </xf>
    <xf numFmtId="173" fontId="113" fillId="0" borderId="0" xfId="59" applyNumberFormat="1" applyFont="1" applyAlignment="1" applyProtection="1">
      <alignment horizontal="center" vertical="center"/>
    </xf>
    <xf numFmtId="0" fontId="96" fillId="0" borderId="0" xfId="398" applyFont="1" applyAlignment="1" applyProtection="1">
      <alignment horizontal="center" vertical="center"/>
    </xf>
    <xf numFmtId="0" fontId="45" fillId="0" borderId="0" xfId="398" applyFont="1" applyAlignment="1" applyProtection="1">
      <alignment horizontal="center" vertical="center"/>
    </xf>
    <xf numFmtId="43" fontId="45" fillId="0" borderId="0" xfId="59" applyFont="1" applyAlignment="1" applyProtection="1">
      <alignment horizontal="center" vertical="center"/>
    </xf>
    <xf numFmtId="10" fontId="45" fillId="0" borderId="0" xfId="266" applyNumberFormat="1" applyFont="1" applyAlignment="1" applyProtection="1">
      <alignment horizontal="center" vertical="center"/>
    </xf>
    <xf numFmtId="173" fontId="45" fillId="0" borderId="0" xfId="59" applyNumberFormat="1" applyFont="1" applyAlignment="1" applyProtection="1">
      <alignment horizontal="center" vertical="center"/>
    </xf>
    <xf numFmtId="0" fontId="45" fillId="0" borderId="0" xfId="398" applyFont="1" applyAlignment="1" applyProtection="1">
      <alignment horizontal="left"/>
    </xf>
    <xf numFmtId="0" fontId="45" fillId="0" borderId="0" xfId="398" applyFont="1" applyFill="1" applyAlignment="1" applyProtection="1">
      <alignment horizontal="center"/>
    </xf>
    <xf numFmtId="2" fontId="45" fillId="0" borderId="0" xfId="398" applyNumberFormat="1" applyFont="1" applyFill="1" applyAlignment="1" applyProtection="1">
      <alignment horizontal="center"/>
    </xf>
    <xf numFmtId="43" fontId="45" fillId="0" borderId="0" xfId="59" applyFont="1" applyFill="1" applyBorder="1" applyAlignment="1" applyProtection="1">
      <alignment horizontal="center"/>
    </xf>
    <xf numFmtId="173" fontId="96" fillId="0" borderId="4" xfId="59" applyNumberFormat="1" applyFont="1" applyBorder="1" applyAlignment="1" applyProtection="1">
      <alignment horizontal="center"/>
    </xf>
    <xf numFmtId="173" fontId="96" fillId="0" borderId="0" xfId="59" applyNumberFormat="1" applyFont="1" applyBorder="1" applyAlignment="1" applyProtection="1">
      <alignment horizontal="center"/>
    </xf>
    <xf numFmtId="0" fontId="96" fillId="0" borderId="0" xfId="398" applyFont="1" applyAlignment="1" applyProtection="1">
      <alignment horizontal="left" vertical="center"/>
    </xf>
    <xf numFmtId="177" fontId="114" fillId="0" borderId="0" xfId="59" applyNumberFormat="1" applyFont="1" applyFill="1" applyAlignment="1" applyProtection="1">
      <alignment horizontal="center"/>
    </xf>
    <xf numFmtId="173" fontId="96" fillId="0" borderId="0" xfId="59" applyNumberFormat="1" applyFont="1" applyFill="1" applyBorder="1" applyAlignment="1" applyProtection="1">
      <alignment horizontal="center"/>
    </xf>
    <xf numFmtId="173" fontId="114" fillId="0" borderId="0" xfId="59" applyNumberFormat="1" applyFont="1" applyFill="1" applyAlignment="1" applyProtection="1">
      <alignment horizontal="center"/>
    </xf>
    <xf numFmtId="173" fontId="114" fillId="0" borderId="0" xfId="59" applyNumberFormat="1" applyFont="1" applyBorder="1" applyAlignment="1" applyProtection="1">
      <alignment horizontal="center"/>
    </xf>
    <xf numFmtId="0" fontId="45" fillId="0" borderId="0" xfId="398" applyFont="1" applyAlignment="1" applyProtection="1">
      <alignment horizontal="left" indent="1"/>
    </xf>
    <xf numFmtId="0" fontId="45" fillId="0" borderId="0" xfId="398" applyFont="1" applyFill="1" applyAlignment="1" applyProtection="1">
      <alignment horizontal="right"/>
    </xf>
    <xf numFmtId="274" fontId="45" fillId="0" borderId="0" xfId="266" applyNumberFormat="1" applyFont="1" applyFill="1" applyAlignment="1" applyProtection="1">
      <alignment horizontal="center"/>
    </xf>
    <xf numFmtId="173" fontId="45" fillId="0" borderId="0" xfId="59" applyNumberFormat="1" applyFont="1" applyFill="1" applyProtection="1"/>
    <xf numFmtId="173" fontId="45" fillId="0" borderId="0" xfId="59" applyNumberFormat="1" applyFont="1" applyFill="1" applyBorder="1" applyProtection="1"/>
    <xf numFmtId="280" fontId="45" fillId="0" borderId="0" xfId="266" applyNumberFormat="1" applyFont="1" applyBorder="1" applyProtection="1"/>
    <xf numFmtId="173" fontId="45" fillId="0" borderId="0" xfId="59" applyNumberFormat="1" applyFont="1" applyFill="1" applyBorder="1" applyAlignment="1" applyProtection="1"/>
    <xf numFmtId="173" fontId="115" fillId="0" borderId="14" xfId="59" applyNumberFormat="1" applyFont="1" applyFill="1" applyBorder="1" applyAlignment="1" applyProtection="1"/>
    <xf numFmtId="172" fontId="114" fillId="0" borderId="0" xfId="0" applyFont="1" applyProtection="1"/>
    <xf numFmtId="173" fontId="115" fillId="0" borderId="0" xfId="59" applyNumberFormat="1" applyFont="1" applyFill="1" applyBorder="1" applyAlignment="1" applyProtection="1"/>
    <xf numFmtId="173" fontId="45" fillId="0" borderId="0" xfId="59" applyNumberFormat="1" applyFont="1" applyBorder="1" applyProtection="1"/>
    <xf numFmtId="274" fontId="114" fillId="0" borderId="0" xfId="59" applyNumberFormat="1" applyFont="1" applyFill="1" applyAlignment="1" applyProtection="1">
      <alignment horizontal="center"/>
    </xf>
    <xf numFmtId="274" fontId="45" fillId="0" borderId="0" xfId="0" applyNumberFormat="1" applyFont="1" applyFill="1" applyAlignment="1" applyProtection="1">
      <alignment horizontal="center" vertical="center" wrapText="1"/>
    </xf>
    <xf numFmtId="173" fontId="45" fillId="0" borderId="0" xfId="59" applyNumberFormat="1" applyFont="1" applyFill="1" applyAlignment="1" applyProtection="1">
      <alignment vertical="center" wrapText="1"/>
    </xf>
    <xf numFmtId="173" fontId="45" fillId="0" borderId="0" xfId="59" applyNumberFormat="1" applyFont="1" applyFill="1" applyBorder="1" applyAlignment="1" applyProtection="1">
      <alignment vertical="center" wrapText="1"/>
    </xf>
    <xf numFmtId="3" fontId="45" fillId="0" borderId="0" xfId="0" applyNumberFormat="1" applyFont="1" applyProtection="1"/>
    <xf numFmtId="172" fontId="117" fillId="0" borderId="0" xfId="0" applyFont="1" applyProtection="1"/>
    <xf numFmtId="10" fontId="45" fillId="0" borderId="0" xfId="0" applyNumberFormat="1" applyFont="1" applyFill="1" applyAlignment="1" applyProtection="1">
      <alignment vertical="center" wrapText="1"/>
    </xf>
    <xf numFmtId="173" fontId="115" fillId="0" borderId="14" xfId="59" applyNumberFormat="1" applyFont="1" applyFill="1" applyBorder="1" applyAlignment="1" applyProtection="1">
      <alignment vertical="center" wrapText="1"/>
    </xf>
    <xf numFmtId="173" fontId="115" fillId="0" borderId="0" xfId="59" applyNumberFormat="1" applyFont="1" applyFill="1" applyBorder="1" applyAlignment="1" applyProtection="1">
      <alignment vertical="center" wrapText="1"/>
    </xf>
    <xf numFmtId="0" fontId="45" fillId="0" borderId="0" xfId="398" applyFont="1" applyFill="1" applyAlignment="1" applyProtection="1">
      <alignment horizontal="left"/>
    </xf>
    <xf numFmtId="0" fontId="45" fillId="0" borderId="0" xfId="398" applyFont="1" applyFill="1" applyAlignment="1" applyProtection="1">
      <alignment horizontal="left" indent="1"/>
    </xf>
    <xf numFmtId="10" fontId="45" fillId="0" borderId="0" xfId="0" applyNumberFormat="1" applyFont="1" applyFill="1" applyAlignment="1" applyProtection="1">
      <alignment horizontal="center"/>
    </xf>
    <xf numFmtId="172" fontId="118" fillId="0" borderId="0" xfId="0" applyFont="1" applyFill="1" applyAlignment="1" applyProtection="1">
      <alignment vertical="center" wrapText="1"/>
    </xf>
    <xf numFmtId="274" fontId="45" fillId="0" borderId="0" xfId="0" applyNumberFormat="1" applyFont="1" applyFill="1" applyAlignment="1" applyProtection="1">
      <alignment horizontal="center"/>
    </xf>
    <xf numFmtId="43" fontId="45" fillId="0" borderId="0" xfId="59" applyNumberFormat="1" applyFont="1" applyProtection="1"/>
    <xf numFmtId="274" fontId="45" fillId="0" borderId="0" xfId="0" applyNumberFormat="1" applyFont="1" applyAlignment="1" applyProtection="1">
      <alignment horizontal="center"/>
    </xf>
    <xf numFmtId="43" fontId="45" fillId="0" borderId="0" xfId="59" applyNumberFormat="1" applyFont="1" applyFill="1" applyProtection="1"/>
    <xf numFmtId="173" fontId="45" fillId="0" borderId="0" xfId="59" applyNumberFormat="1" applyFont="1" applyFill="1" applyBorder="1" applyAlignment="1" applyProtection="1">
      <alignment horizontal="right"/>
    </xf>
    <xf numFmtId="10" fontId="45" fillId="0" borderId="0" xfId="0" applyNumberFormat="1" applyFont="1" applyFill="1" applyAlignment="1" applyProtection="1">
      <alignment horizontal="center" vertical="center" wrapText="1"/>
    </xf>
    <xf numFmtId="173" fontId="45" fillId="0" borderId="0" xfId="59" applyNumberFormat="1" applyFont="1" applyFill="1" applyAlignment="1" applyProtection="1">
      <alignment horizontal="right" vertical="center" wrapText="1"/>
    </xf>
    <xf numFmtId="173" fontId="45" fillId="0" borderId="0" xfId="59" applyNumberFormat="1" applyFont="1" applyFill="1" applyBorder="1" applyAlignment="1" applyProtection="1">
      <alignment horizontal="right" vertical="center" wrapText="1"/>
    </xf>
    <xf numFmtId="172" fontId="119" fillId="0" borderId="0" xfId="0" applyFont="1" applyProtection="1"/>
    <xf numFmtId="173" fontId="115" fillId="0" borderId="14" xfId="59" applyNumberFormat="1" applyFont="1" applyFill="1" applyBorder="1" applyProtection="1"/>
    <xf numFmtId="173" fontId="115" fillId="0" borderId="0" xfId="59" applyNumberFormat="1" applyFont="1" applyFill="1" applyBorder="1" applyProtection="1"/>
    <xf numFmtId="41" fontId="45" fillId="0" borderId="0" xfId="0" applyNumberFormat="1" applyFont="1" applyProtection="1"/>
    <xf numFmtId="0" fontId="45" fillId="0" borderId="0" xfId="398" applyFont="1" applyFill="1" applyAlignment="1" applyProtection="1">
      <alignment horizontal="center" vertical="top"/>
    </xf>
    <xf numFmtId="172" fontId="45" fillId="0" borderId="0" xfId="0" applyFont="1" applyFill="1" applyAlignment="1" applyProtection="1">
      <alignment horizontal="left" wrapText="1"/>
    </xf>
    <xf numFmtId="172" fontId="45" fillId="0" borderId="0" xfId="0" applyFont="1" applyBorder="1" applyAlignment="1" applyProtection="1">
      <alignment horizontal="center"/>
    </xf>
    <xf numFmtId="172" fontId="45" fillId="0" borderId="0" xfId="0" applyFont="1" applyAlignment="1" applyProtection="1">
      <alignment horizontal="left" vertical="center" wrapText="1"/>
    </xf>
    <xf numFmtId="174" fontId="45" fillId="0" borderId="0" xfId="93" applyNumberFormat="1" applyFont="1" applyAlignment="1" applyProtection="1"/>
    <xf numFmtId="0" fontId="45" fillId="0" borderId="0" xfId="398" quotePrefix="1" applyFont="1" applyAlignment="1" applyProtection="1">
      <alignment horizontal="center"/>
    </xf>
    <xf numFmtId="43" fontId="45" fillId="0" borderId="0" xfId="59" quotePrefix="1" applyFont="1" applyAlignment="1" applyProtection="1">
      <alignment horizontal="center"/>
    </xf>
    <xf numFmtId="172" fontId="45" fillId="0" borderId="0" xfId="0" applyFont="1" applyAlignment="1" applyProtection="1">
      <alignment horizontal="left" indent="1"/>
    </xf>
    <xf numFmtId="10" fontId="45" fillId="0" borderId="0" xfId="266" applyNumberFormat="1" applyFont="1" applyAlignment="1" applyProtection="1"/>
    <xf numFmtId="173" fontId="45" fillId="0" borderId="0" xfId="59" applyNumberFormat="1" applyFont="1" applyAlignment="1" applyProtection="1">
      <alignment horizontal="left" vertical="center" wrapText="1"/>
    </xf>
    <xf numFmtId="172" fontId="45" fillId="0" borderId="0" xfId="0" applyFont="1" applyAlignment="1" applyProtection="1">
      <alignment horizontal="left" indent="2"/>
    </xf>
    <xf numFmtId="172" fontId="96" fillId="0" borderId="0" xfId="0" applyFont="1" applyAlignment="1" applyProtection="1">
      <alignment horizontal="left" indent="1"/>
    </xf>
    <xf numFmtId="0" fontId="55" fillId="0" borderId="0" xfId="211" applyNumberFormat="1" applyFont="1" applyProtection="1"/>
    <xf numFmtId="172" fontId="45" fillId="0" borderId="0" xfId="0" applyFont="1" applyAlignment="1" applyProtection="1">
      <alignment horizontal="center" wrapText="1"/>
    </xf>
    <xf numFmtId="172" fontId="45" fillId="0" borderId="0" xfId="0" applyFont="1" applyFill="1" applyBorder="1" applyAlignment="1" applyProtection="1">
      <alignment horizontal="center" wrapText="1"/>
    </xf>
    <xf numFmtId="174" fontId="45" fillId="0" borderId="0" xfId="93" applyNumberFormat="1" applyFont="1" applyFill="1" applyBorder="1" applyProtection="1"/>
    <xf numFmtId="10" fontId="45" fillId="0" borderId="0" xfId="266" applyNumberFormat="1" applyFont="1" applyProtection="1"/>
    <xf numFmtId="174" fontId="45" fillId="0" borderId="0" xfId="93" applyNumberFormat="1" applyFont="1" applyProtection="1"/>
    <xf numFmtId="172" fontId="45" fillId="0" borderId="0" xfId="0" applyFont="1" applyAlignment="1" applyProtection="1">
      <alignment horizontal="right"/>
    </xf>
    <xf numFmtId="280" fontId="116" fillId="0" borderId="0" xfId="0" applyNumberFormat="1" applyFont="1" applyBorder="1" applyAlignment="1" applyProtection="1">
      <alignment horizontal="right"/>
    </xf>
    <xf numFmtId="41" fontId="45" fillId="0" borderId="0" xfId="0" applyNumberFormat="1" applyFont="1" applyBorder="1" applyProtection="1"/>
    <xf numFmtId="172" fontId="120" fillId="0" borderId="0" xfId="0" applyFont="1" applyProtection="1"/>
    <xf numFmtId="0" fontId="45" fillId="0" borderId="8" xfId="398" applyFont="1" applyBorder="1" applyAlignment="1" applyProtection="1">
      <alignment horizontal="left"/>
    </xf>
    <xf numFmtId="49" fontId="45" fillId="0" borderId="0" xfId="398" applyNumberFormat="1" applyFont="1" applyAlignment="1" applyProtection="1">
      <alignment horizontal="left" indent="1"/>
    </xf>
    <xf numFmtId="0" fontId="45" fillId="0" borderId="0" xfId="0" applyNumberFormat="1" applyFont="1" applyAlignment="1" applyProtection="1">
      <alignment horizontal="center" vertical="top"/>
    </xf>
    <xf numFmtId="0" fontId="45" fillId="0" borderId="0" xfId="398" applyFont="1" applyAlignment="1" applyProtection="1">
      <alignment horizontal="center" vertical="top"/>
    </xf>
    <xf numFmtId="0" fontId="45" fillId="0" borderId="0" xfId="398" applyFont="1" applyAlignment="1" applyProtection="1">
      <alignment vertical="top"/>
    </xf>
    <xf numFmtId="172" fontId="45" fillId="0" borderId="0" xfId="0" applyFont="1" applyAlignment="1" applyProtection="1">
      <alignment vertical="top"/>
    </xf>
    <xf numFmtId="173" fontId="45" fillId="0" borderId="0" xfId="59" applyNumberFormat="1" applyFont="1" applyAlignment="1" applyProtection="1">
      <alignment vertical="top"/>
    </xf>
    <xf numFmtId="172" fontId="45" fillId="0" borderId="0" xfId="0" applyFont="1" applyBorder="1" applyAlignment="1" applyProtection="1">
      <alignment vertical="top"/>
    </xf>
    <xf numFmtId="280" fontId="45" fillId="0" borderId="0" xfId="0" applyNumberFormat="1" applyFont="1" applyBorder="1" applyAlignment="1" applyProtection="1">
      <alignment vertical="top"/>
    </xf>
    <xf numFmtId="173" fontId="45" fillId="14" borderId="0" xfId="59" applyNumberFormat="1" applyFont="1" applyFill="1" applyAlignment="1" applyProtection="1">
      <protection locked="0"/>
    </xf>
    <xf numFmtId="0" fontId="51" fillId="0" borderId="0" xfId="389" applyFont="1" applyFill="1" applyAlignment="1" applyProtection="1">
      <alignment horizontal="center"/>
    </xf>
    <xf numFmtId="172" fontId="96" fillId="0" borderId="0" xfId="0" applyFont="1" applyAlignment="1" applyProtection="1"/>
    <xf numFmtId="279" fontId="45" fillId="0" borderId="0" xfId="0" applyNumberFormat="1" applyFont="1" applyFill="1" applyAlignment="1" applyProtection="1">
      <alignment horizontal="center"/>
    </xf>
    <xf numFmtId="0" fontId="45" fillId="0" borderId="0" xfId="0" applyNumberFormat="1" applyFont="1" applyFill="1" applyAlignment="1" applyProtection="1">
      <alignment horizontal="center"/>
    </xf>
    <xf numFmtId="172" fontId="45" fillId="0" borderId="0" xfId="0" applyFont="1" applyFill="1" applyAlignment="1" applyProtection="1">
      <alignment horizontal="left" indent="2"/>
    </xf>
    <xf numFmtId="174" fontId="45" fillId="0" borderId="0" xfId="93" applyNumberFormat="1" applyFont="1" applyFill="1" applyAlignment="1" applyProtection="1"/>
    <xf numFmtId="172" fontId="96" fillId="0" borderId="0" xfId="0" applyFont="1" applyFill="1" applyAlignment="1" applyProtection="1">
      <alignment horizontal="left"/>
    </xf>
    <xf numFmtId="172" fontId="105" fillId="0" borderId="0" xfId="0" applyFont="1" applyAlignment="1" applyProtection="1"/>
    <xf numFmtId="173" fontId="45" fillId="0" borderId="0" xfId="93" applyNumberFormat="1" applyFont="1" applyFill="1" applyAlignment="1" applyProtection="1"/>
    <xf numFmtId="173" fontId="45" fillId="0" borderId="0" xfId="93" applyNumberFormat="1" applyFont="1" applyAlignment="1" applyProtection="1"/>
    <xf numFmtId="279" fontId="45" fillId="0" borderId="0" xfId="0" applyNumberFormat="1" applyFont="1" applyFill="1" applyAlignment="1" applyProtection="1"/>
    <xf numFmtId="173" fontId="45" fillId="0" borderId="0" xfId="0" applyNumberFormat="1" applyFont="1" applyFill="1" applyAlignment="1" applyProtection="1"/>
    <xf numFmtId="172" fontId="51" fillId="0" borderId="8" xfId="0" applyFont="1" applyBorder="1" applyAlignment="1" applyProtection="1"/>
    <xf numFmtId="172" fontId="51" fillId="0" borderId="0" xfId="0" applyFont="1" applyAlignment="1" applyProtection="1">
      <alignment horizontal="right" vertical="center"/>
    </xf>
    <xf numFmtId="172" fontId="51" fillId="0" borderId="0" xfId="0" applyFont="1" applyAlignment="1" applyProtection="1">
      <alignment horizontal="left" vertical="center"/>
    </xf>
    <xf numFmtId="172" fontId="51" fillId="0" borderId="0" xfId="0" applyFont="1" applyAlignment="1" applyProtection="1">
      <alignment horizontal="left" vertical="center" indent="7"/>
    </xf>
    <xf numFmtId="0" fontId="45" fillId="0" borderId="0" xfId="0" applyNumberFormat="1" applyFont="1" applyAlignment="1" applyProtection="1"/>
    <xf numFmtId="0" fontId="45" fillId="0" borderId="0" xfId="212" applyFont="1" applyFill="1" applyProtection="1"/>
    <xf numFmtId="0" fontId="45" fillId="0" borderId="0" xfId="212" applyFont="1" applyFill="1" applyAlignment="1" applyProtection="1">
      <alignment horizontal="right"/>
    </xf>
    <xf numFmtId="172" fontId="45" fillId="0" borderId="0" xfId="0" applyFont="1" applyFill="1" applyAlignment="1" applyProtection="1">
      <alignment horizontal="right"/>
    </xf>
    <xf numFmtId="9" fontId="45" fillId="0" borderId="0" xfId="266" applyFont="1" applyFill="1" applyAlignment="1" applyProtection="1"/>
    <xf numFmtId="0" fontId="96" fillId="0" borderId="1" xfId="0" applyNumberFormat="1" applyFont="1" applyBorder="1" applyAlignment="1" applyProtection="1">
      <alignment horizontal="center"/>
    </xf>
    <xf numFmtId="3" fontId="96" fillId="0" borderId="0" xfId="0" applyNumberFormat="1" applyFont="1" applyFill="1" applyAlignment="1" applyProtection="1"/>
    <xf numFmtId="169" fontId="96" fillId="0" borderId="0" xfId="0" applyNumberFormat="1" applyFont="1" applyAlignment="1" applyProtection="1"/>
    <xf numFmtId="174" fontId="96" fillId="0" borderId="0" xfId="93" applyNumberFormat="1" applyFont="1" applyAlignment="1" applyProtection="1"/>
    <xf numFmtId="3" fontId="45" fillId="0" borderId="0" xfId="0" applyNumberFormat="1" applyFont="1" applyFill="1" applyAlignment="1" applyProtection="1"/>
    <xf numFmtId="172" fontId="45" fillId="0" borderId="0" xfId="0" applyFont="1" applyAlignment="1" applyProtection="1">
      <alignment wrapText="1"/>
    </xf>
    <xf numFmtId="173" fontId="55" fillId="14" borderId="0" xfId="59" applyNumberFormat="1" applyFont="1" applyFill="1" applyBorder="1" applyProtection="1">
      <protection locked="0"/>
    </xf>
    <xf numFmtId="173" fontId="55" fillId="14" borderId="0" xfId="59" applyNumberFormat="1" applyFont="1" applyFill="1" applyAlignment="1" applyProtection="1">
      <protection locked="0"/>
    </xf>
    <xf numFmtId="173" fontId="55" fillId="14" borderId="0" xfId="59" applyNumberFormat="1" applyFont="1" applyFill="1" applyProtection="1">
      <protection locked="0"/>
    </xf>
    <xf numFmtId="173" fontId="55" fillId="14" borderId="8" xfId="59" applyNumberFormat="1" applyFont="1" applyFill="1" applyBorder="1" applyProtection="1">
      <protection locked="0"/>
    </xf>
    <xf numFmtId="173" fontId="55" fillId="14" borderId="8" xfId="59" applyNumberFormat="1" applyFont="1" applyFill="1" applyBorder="1" applyAlignment="1" applyProtection="1">
      <protection locked="0"/>
    </xf>
    <xf numFmtId="10" fontId="55" fillId="14" borderId="0" xfId="266" applyNumberFormat="1" applyFont="1" applyFill="1" applyAlignment="1" applyProtection="1">
      <alignment horizontal="right"/>
      <protection locked="0"/>
    </xf>
    <xf numFmtId="10" fontId="55" fillId="14" borderId="0" xfId="266" applyNumberFormat="1" applyFont="1" applyFill="1" applyAlignment="1" applyProtection="1">
      <alignment vertical="top"/>
      <protection locked="0"/>
    </xf>
    <xf numFmtId="172" fontId="55" fillId="14" borderId="0" xfId="201" applyFont="1" applyFill="1" applyBorder="1" applyAlignment="1" applyProtection="1">
      <protection locked="0"/>
    </xf>
    <xf numFmtId="174" fontId="55" fillId="14" borderId="0" xfId="93" applyNumberFormat="1" applyFont="1" applyFill="1" applyBorder="1" applyAlignment="1" applyProtection="1">
      <protection locked="0"/>
    </xf>
    <xf numFmtId="172" fontId="55" fillId="14" borderId="1" xfId="201" applyFont="1" applyFill="1" applyBorder="1" applyAlignment="1" applyProtection="1">
      <protection locked="0"/>
    </xf>
    <xf numFmtId="173" fontId="55" fillId="14" borderId="0" xfId="59" applyNumberFormat="1" applyFont="1" applyFill="1" applyBorder="1" applyAlignment="1" applyProtection="1">
      <protection locked="0"/>
    </xf>
    <xf numFmtId="173" fontId="55" fillId="14" borderId="1" xfId="59" applyNumberFormat="1" applyFont="1" applyFill="1" applyBorder="1" applyAlignment="1" applyProtection="1">
      <protection locked="0"/>
    </xf>
    <xf numFmtId="173" fontId="55" fillId="14" borderId="10" xfId="59" applyNumberFormat="1" applyFont="1" applyFill="1" applyBorder="1" applyAlignment="1" applyProtection="1">
      <protection locked="0"/>
    </xf>
    <xf numFmtId="173" fontId="84" fillId="14" borderId="17" xfId="59" applyNumberFormat="1" applyFont="1" applyFill="1" applyBorder="1" applyAlignment="1" applyProtection="1">
      <protection locked="0"/>
    </xf>
    <xf numFmtId="173" fontId="84" fillId="14" borderId="1" xfId="59" applyNumberFormat="1" applyFont="1" applyFill="1" applyBorder="1" applyAlignment="1" applyProtection="1">
      <protection locked="0"/>
    </xf>
    <xf numFmtId="173" fontId="55" fillId="14" borderId="11" xfId="59" applyNumberFormat="1" applyFont="1" applyFill="1" applyBorder="1" applyAlignment="1" applyProtection="1">
      <protection locked="0"/>
    </xf>
    <xf numFmtId="172" fontId="55" fillId="14" borderId="11" xfId="0" applyFont="1" applyFill="1" applyBorder="1" applyProtection="1">
      <protection locked="0"/>
    </xf>
    <xf numFmtId="43" fontId="55" fillId="14" borderId="11" xfId="59" applyFont="1" applyFill="1" applyBorder="1" applyProtection="1">
      <protection locked="0"/>
    </xf>
    <xf numFmtId="173" fontId="55" fillId="14" borderId="10" xfId="59" applyNumberFormat="1" applyFont="1" applyFill="1" applyBorder="1" applyProtection="1">
      <protection locked="0"/>
    </xf>
    <xf numFmtId="43" fontId="55" fillId="14" borderId="22" xfId="59" applyFont="1" applyFill="1" applyBorder="1" applyAlignment="1" applyProtection="1">
      <alignment horizontal="center"/>
      <protection locked="0"/>
    </xf>
    <xf numFmtId="43" fontId="55" fillId="14" borderId="12" xfId="59" applyFont="1" applyFill="1" applyBorder="1" applyProtection="1">
      <protection locked="0"/>
    </xf>
    <xf numFmtId="43" fontId="55" fillId="14" borderId="11" xfId="59" applyFont="1" applyFill="1" applyBorder="1" applyAlignment="1" applyProtection="1">
      <alignment horizontal="center"/>
      <protection locked="0"/>
    </xf>
    <xf numFmtId="43" fontId="55" fillId="14" borderId="10" xfId="59" applyFont="1" applyFill="1" applyBorder="1" applyAlignment="1" applyProtection="1">
      <alignment horizontal="center"/>
      <protection locked="0"/>
    </xf>
    <xf numFmtId="43" fontId="55" fillId="14" borderId="11" xfId="59" applyFont="1" applyFill="1" applyBorder="1" applyAlignment="1" applyProtection="1">
      <protection locked="0"/>
    </xf>
    <xf numFmtId="174" fontId="55" fillId="14" borderId="0" xfId="93" applyNumberFormat="1" applyFont="1" applyFill="1" applyAlignment="1" applyProtection="1">
      <protection locked="0"/>
    </xf>
    <xf numFmtId="172" fontId="55" fillId="14" borderId="0" xfId="0" applyFont="1" applyFill="1" applyAlignment="1" applyProtection="1">
      <protection locked="0"/>
    </xf>
    <xf numFmtId="172" fontId="55" fillId="14" borderId="0" xfId="0" applyFont="1" applyFill="1" applyAlignment="1" applyProtection="1">
      <alignment horizontal="left"/>
      <protection locked="0"/>
    </xf>
    <xf numFmtId="172" fontId="55" fillId="14" borderId="0" xfId="0" applyFont="1" applyFill="1" applyAlignment="1" applyProtection="1">
      <alignment horizontal="center" wrapText="1"/>
      <protection locked="0"/>
    </xf>
    <xf numFmtId="0" fontId="55" fillId="14" borderId="0" xfId="187" applyFont="1" applyFill="1" applyBorder="1" applyAlignment="1" applyProtection="1">
      <protection locked="0"/>
    </xf>
    <xf numFmtId="173" fontId="55" fillId="14" borderId="0" xfId="59" applyNumberFormat="1" applyFont="1" applyFill="1" applyBorder="1" applyAlignment="1" applyProtection="1">
      <alignment horizontal="center"/>
      <protection locked="0"/>
    </xf>
    <xf numFmtId="43" fontId="55" fillId="14" borderId="0" xfId="59" applyNumberFormat="1" applyFont="1" applyFill="1" applyBorder="1" applyAlignment="1" applyProtection="1">
      <alignment horizontal="center"/>
      <protection locked="0"/>
    </xf>
    <xf numFmtId="43" fontId="55" fillId="14" borderId="0" xfId="59" applyNumberFormat="1" applyFont="1" applyFill="1" applyAlignment="1" applyProtection="1">
      <protection locked="0"/>
    </xf>
    <xf numFmtId="9" fontId="55" fillId="14" borderId="0" xfId="266" applyFont="1" applyFill="1" applyAlignment="1" applyProtection="1">
      <protection locked="0"/>
    </xf>
    <xf numFmtId="0" fontId="111" fillId="14" borderId="0" xfId="187" applyFont="1" applyFill="1" applyBorder="1" applyAlignment="1" applyProtection="1">
      <protection locked="0"/>
    </xf>
    <xf numFmtId="173" fontId="111" fillId="14" borderId="0" xfId="59" applyNumberFormat="1" applyFont="1" applyFill="1" applyBorder="1" applyProtection="1">
      <protection locked="0"/>
    </xf>
    <xf numFmtId="43" fontId="55" fillId="14" borderId="0" xfId="59" applyFont="1" applyFill="1" applyAlignment="1" applyProtection="1">
      <protection locked="0"/>
    </xf>
    <xf numFmtId="0" fontId="55" fillId="14" borderId="1" xfId="187" applyFont="1" applyFill="1" applyBorder="1" applyAlignment="1" applyProtection="1">
      <protection locked="0"/>
    </xf>
    <xf numFmtId="173" fontId="55" fillId="14" borderId="1" xfId="59" applyNumberFormat="1" applyFont="1" applyFill="1" applyBorder="1" applyProtection="1">
      <protection locked="0"/>
    </xf>
    <xf numFmtId="173" fontId="55" fillId="14" borderId="1" xfId="59" applyNumberFormat="1" applyFont="1" applyFill="1" applyBorder="1" applyAlignment="1" applyProtection="1">
      <alignment horizontal="center"/>
      <protection locked="0"/>
    </xf>
    <xf numFmtId="43" fontId="55" fillId="14" borderId="1" xfId="59" applyFont="1" applyFill="1" applyBorder="1" applyAlignment="1" applyProtection="1">
      <protection locked="0"/>
    </xf>
    <xf numFmtId="41" fontId="55" fillId="14" borderId="0" xfId="212" applyNumberFormat="1" applyFont="1" applyFill="1" applyProtection="1">
      <protection locked="0"/>
    </xf>
    <xf numFmtId="1" fontId="51" fillId="14" borderId="0" xfId="59" applyNumberFormat="1" applyFont="1" applyFill="1" applyProtection="1">
      <protection locked="0"/>
    </xf>
    <xf numFmtId="175" fontId="51" fillId="14" borderId="0" xfId="392" applyNumberFormat="1" applyFont="1" applyFill="1" applyProtection="1">
      <protection locked="0"/>
    </xf>
    <xf numFmtId="173" fontId="103" fillId="14" borderId="0" xfId="392" applyNumberFormat="1" applyFont="1" applyFill="1" applyBorder="1" applyProtection="1">
      <protection locked="0"/>
    </xf>
    <xf numFmtId="173" fontId="103" fillId="14" borderId="0" xfId="392" applyNumberFormat="1" applyFont="1" applyFill="1" applyProtection="1">
      <protection locked="0"/>
    </xf>
    <xf numFmtId="173" fontId="103" fillId="14" borderId="0" xfId="389" applyNumberFormat="1" applyFont="1" applyFill="1" applyProtection="1">
      <protection locked="0"/>
    </xf>
    <xf numFmtId="173" fontId="51" fillId="14" borderId="0" xfId="59" applyNumberFormat="1" applyFont="1" applyFill="1" applyBorder="1" applyProtection="1">
      <protection locked="0"/>
    </xf>
    <xf numFmtId="173" fontId="103" fillId="14" borderId="0" xfId="59" applyNumberFormat="1" applyFont="1" applyFill="1" applyBorder="1" applyProtection="1">
      <protection locked="0"/>
    </xf>
    <xf numFmtId="173" fontId="103" fillId="14" borderId="0" xfId="59" applyNumberFormat="1" applyFont="1" applyFill="1" applyProtection="1">
      <protection locked="0"/>
    </xf>
    <xf numFmtId="175" fontId="130" fillId="14" borderId="0" xfId="392" applyNumberFormat="1" applyFont="1" applyFill="1" applyProtection="1">
      <protection locked="0"/>
    </xf>
    <xf numFmtId="37" fontId="51" fillId="14" borderId="23" xfId="440" applyNumberFormat="1" applyFont="1" applyFill="1" applyBorder="1" applyAlignment="1" applyProtection="1">
      <alignment wrapText="1"/>
      <protection locked="0"/>
    </xf>
    <xf numFmtId="41" fontId="51" fillId="14" borderId="9" xfId="389" applyNumberFormat="1" applyFont="1" applyFill="1" applyBorder="1" applyProtection="1">
      <protection locked="0"/>
    </xf>
    <xf numFmtId="41" fontId="51" fillId="14" borderId="9" xfId="389" applyNumberFormat="1" applyFont="1" applyFill="1" applyBorder="1" applyAlignment="1" applyProtection="1">
      <alignment horizontal="left" vertical="top" wrapText="1"/>
      <protection locked="0"/>
    </xf>
    <xf numFmtId="41" fontId="51" fillId="14" borderId="9" xfId="395" applyNumberFormat="1" applyFont="1" applyFill="1" applyBorder="1" applyProtection="1">
      <protection locked="0"/>
    </xf>
    <xf numFmtId="0" fontId="55" fillId="14" borderId="9" xfId="389" applyFont="1" applyFill="1" applyBorder="1" applyAlignment="1" applyProtection="1">
      <protection locked="0"/>
    </xf>
    <xf numFmtId="0" fontId="51" fillId="14" borderId="9" xfId="389" applyFont="1" applyFill="1" applyBorder="1" applyProtection="1">
      <protection locked="0"/>
    </xf>
    <xf numFmtId="41" fontId="15" fillId="14" borderId="9" xfId="389" applyNumberFormat="1" applyFont="1" applyFill="1" applyBorder="1" applyProtection="1">
      <protection locked="0"/>
    </xf>
    <xf numFmtId="41" fontId="55" fillId="14" borderId="9" xfId="389" applyNumberFormat="1" applyFont="1" applyFill="1" applyBorder="1" applyAlignment="1" applyProtection="1">
      <protection locked="0"/>
    </xf>
    <xf numFmtId="37" fontId="51" fillId="14" borderId="9" xfId="389" applyNumberFormat="1" applyFont="1" applyFill="1" applyBorder="1" applyAlignment="1" applyProtection="1">
      <alignment wrapText="1"/>
      <protection locked="0"/>
    </xf>
    <xf numFmtId="0" fontId="51" fillId="14" borderId="9" xfId="389" applyFont="1" applyFill="1" applyBorder="1" applyAlignment="1" applyProtection="1">
      <alignment wrapText="1"/>
      <protection locked="0"/>
    </xf>
    <xf numFmtId="0" fontId="55" fillId="14" borderId="9" xfId="389" applyFont="1" applyFill="1" applyBorder="1" applyProtection="1">
      <protection locked="0"/>
    </xf>
    <xf numFmtId="41" fontId="51" fillId="14" borderId="9" xfId="448" applyNumberFormat="1" applyFont="1" applyFill="1" applyBorder="1" applyProtection="1">
      <protection locked="0"/>
    </xf>
    <xf numFmtId="37" fontId="51" fillId="14" borderId="23" xfId="389" applyNumberFormat="1" applyFont="1" applyFill="1" applyBorder="1" applyAlignment="1" applyProtection="1">
      <alignment wrapText="1"/>
      <protection locked="0"/>
    </xf>
    <xf numFmtId="37" fontId="51" fillId="14" borderId="9" xfId="389" applyNumberFormat="1" applyFont="1" applyFill="1" applyBorder="1" applyProtection="1">
      <protection locked="0"/>
    </xf>
    <xf numFmtId="37" fontId="51" fillId="14" borderId="9" xfId="396" applyNumberFormat="1" applyFont="1" applyFill="1" applyBorder="1" applyProtection="1">
      <protection locked="0"/>
    </xf>
    <xf numFmtId="37" fontId="55" fillId="14" borderId="9" xfId="389" applyNumberFormat="1" applyFont="1" applyFill="1" applyBorder="1" applyProtection="1">
      <protection locked="0"/>
    </xf>
    <xf numFmtId="37" fontId="55" fillId="14" borderId="9" xfId="389" applyNumberFormat="1" applyFont="1" applyFill="1" applyBorder="1" applyAlignment="1" applyProtection="1">
      <alignment shrinkToFit="1"/>
      <protection locked="0"/>
    </xf>
    <xf numFmtId="0" fontId="51" fillId="14" borderId="0" xfId="389" applyFont="1" applyFill="1" applyProtection="1">
      <protection locked="0"/>
    </xf>
    <xf numFmtId="41" fontId="51" fillId="14" borderId="9" xfId="392" applyNumberFormat="1" applyFont="1" applyFill="1" applyBorder="1" applyAlignment="1" applyProtection="1">
      <alignment horizontal="right"/>
      <protection locked="0"/>
    </xf>
    <xf numFmtId="41" fontId="129" fillId="14" borderId="9" xfId="440" applyNumberFormat="1" applyFont="1" applyFill="1" applyBorder="1" applyProtection="1">
      <protection locked="0"/>
    </xf>
    <xf numFmtId="0" fontId="55" fillId="14" borderId="9" xfId="440" applyFont="1" applyFill="1" applyBorder="1" applyProtection="1">
      <protection locked="0"/>
    </xf>
    <xf numFmtId="0" fontId="51" fillId="14" borderId="9" xfId="448" applyFont="1" applyFill="1" applyBorder="1" applyAlignment="1" applyProtection="1">
      <alignment wrapText="1"/>
      <protection locked="0"/>
    </xf>
    <xf numFmtId="41" fontId="129" fillId="14" borderId="9" xfId="389" applyNumberFormat="1" applyFont="1" applyFill="1" applyBorder="1" applyProtection="1">
      <protection locked="0"/>
    </xf>
    <xf numFmtId="0" fontId="55" fillId="14" borderId="9" xfId="389" applyFont="1" applyFill="1" applyBorder="1" applyAlignment="1" applyProtection="1">
      <alignment wrapText="1"/>
      <protection locked="0"/>
    </xf>
    <xf numFmtId="37" fontId="51" fillId="14" borderId="9" xfId="396" applyNumberFormat="1" applyFont="1" applyFill="1" applyBorder="1" applyAlignment="1" applyProtection="1">
      <alignment wrapText="1"/>
      <protection locked="0"/>
    </xf>
    <xf numFmtId="37" fontId="55" fillId="14" borderId="9" xfId="389" applyNumberFormat="1" applyFont="1" applyFill="1" applyBorder="1" applyAlignment="1" applyProtection="1">
      <alignment wrapText="1"/>
      <protection locked="0"/>
    </xf>
    <xf numFmtId="37" fontId="55" fillId="14" borderId="9" xfId="389" applyNumberFormat="1" applyFont="1" applyFill="1" applyBorder="1" applyAlignment="1" applyProtection="1">
      <alignment wrapText="1" shrinkToFit="1"/>
      <protection locked="0"/>
    </xf>
    <xf numFmtId="41" fontId="51" fillId="14" borderId="9" xfId="442" applyNumberFormat="1" applyFont="1" applyFill="1" applyBorder="1" applyAlignment="1" applyProtection="1">
      <alignment horizontal="right"/>
      <protection locked="0"/>
    </xf>
    <xf numFmtId="0" fontId="103" fillId="14" borderId="0" xfId="389" applyFont="1" applyFill="1" applyAlignment="1" applyProtection="1">
      <alignment horizontal="left"/>
      <protection locked="0"/>
    </xf>
    <xf numFmtId="173" fontId="103" fillId="14" borderId="0" xfId="389" applyNumberFormat="1" applyFont="1" applyFill="1" applyAlignment="1" applyProtection="1">
      <alignment horizontal="center"/>
      <protection locked="0"/>
    </xf>
    <xf numFmtId="172" fontId="51" fillId="14" borderId="0" xfId="0" applyFont="1" applyFill="1" applyProtection="1">
      <protection locked="0"/>
    </xf>
    <xf numFmtId="0" fontId="103" fillId="14" borderId="0" xfId="389" applyFont="1" applyFill="1" applyAlignment="1" applyProtection="1">
      <alignment horizontal="center"/>
      <protection locked="0"/>
    </xf>
    <xf numFmtId="172" fontId="51" fillId="14" borderId="0" xfId="0" applyFont="1" applyFill="1" applyAlignment="1" applyProtection="1">
      <protection locked="0"/>
    </xf>
    <xf numFmtId="0" fontId="55" fillId="14" borderId="0" xfId="212" quotePrefix="1" applyFont="1" applyFill="1" applyAlignment="1" applyProtection="1">
      <alignment horizontal="left"/>
      <protection locked="0"/>
    </xf>
    <xf numFmtId="172" fontId="45" fillId="14" borderId="0" xfId="0" applyFont="1" applyFill="1" applyAlignment="1" applyProtection="1">
      <protection locked="0"/>
    </xf>
    <xf numFmtId="0" fontId="55" fillId="14" borderId="0" xfId="212" quotePrefix="1" applyFont="1" applyFill="1" applyAlignment="1" applyProtection="1">
      <alignment horizontal="center"/>
      <protection locked="0"/>
    </xf>
    <xf numFmtId="174" fontId="55" fillId="14" borderId="0" xfId="93" quotePrefix="1" applyNumberFormat="1" applyFont="1" applyFill="1" applyAlignment="1" applyProtection="1">
      <alignment horizontal="left"/>
      <protection locked="0"/>
    </xf>
    <xf numFmtId="173" fontId="55" fillId="14" borderId="0" xfId="59" quotePrefix="1" applyNumberFormat="1" applyFont="1" applyFill="1" applyAlignment="1" applyProtection="1">
      <alignment horizontal="left"/>
      <protection locked="0"/>
    </xf>
    <xf numFmtId="39" fontId="55" fillId="14" borderId="0" xfId="59" quotePrefix="1" applyNumberFormat="1" applyFont="1" applyFill="1" applyAlignment="1" applyProtection="1">
      <alignment horizontal="left"/>
      <protection locked="0"/>
    </xf>
    <xf numFmtId="173" fontId="55" fillId="14" borderId="3" xfId="93" applyNumberFormat="1" applyFont="1" applyFill="1" applyBorder="1" applyAlignment="1" applyProtection="1">
      <alignment horizontal="right"/>
      <protection locked="0"/>
    </xf>
    <xf numFmtId="174" fontId="55" fillId="14" borderId="3" xfId="93" applyNumberFormat="1" applyFont="1" applyFill="1" applyBorder="1" applyProtection="1">
      <protection locked="0"/>
    </xf>
    <xf numFmtId="173" fontId="51" fillId="14" borderId="0" xfId="59" applyNumberFormat="1" applyFont="1" applyFill="1" applyAlignment="1" applyProtection="1">
      <alignment wrapText="1"/>
      <protection locked="0"/>
    </xf>
    <xf numFmtId="0" fontId="51" fillId="14" borderId="0" xfId="184" applyFont="1" applyFill="1" applyAlignment="1" applyProtection="1">
      <alignment horizontal="left"/>
      <protection locked="0"/>
    </xf>
    <xf numFmtId="173" fontId="51" fillId="14" borderId="0" xfId="59" applyNumberFormat="1" applyFont="1" applyFill="1" applyAlignment="1" applyProtection="1">
      <protection locked="0"/>
    </xf>
    <xf numFmtId="0" fontId="51" fillId="14" borderId="0" xfId="184" applyFont="1" applyFill="1" applyProtection="1">
      <protection locked="0"/>
    </xf>
    <xf numFmtId="174" fontId="51" fillId="14" borderId="9" xfId="93" applyNumberFormat="1" applyFont="1" applyFill="1" applyBorder="1" applyProtection="1">
      <protection locked="0"/>
    </xf>
    <xf numFmtId="173" fontId="51" fillId="14" borderId="9" xfId="59" applyNumberFormat="1" applyFont="1" applyFill="1" applyBorder="1" applyProtection="1">
      <protection locked="0"/>
    </xf>
    <xf numFmtId="174" fontId="51" fillId="14" borderId="0" xfId="93" applyNumberFormat="1" applyFont="1" applyFill="1" applyBorder="1" applyProtection="1">
      <protection locked="0"/>
    </xf>
    <xf numFmtId="277" fontId="51" fillId="14" borderId="0" xfId="93" applyNumberFormat="1" applyFont="1" applyFill="1" applyBorder="1" applyProtection="1"/>
    <xf numFmtId="177" fontId="51" fillId="14" borderId="0" xfId="59" applyNumberFormat="1" applyFont="1" applyFill="1" applyBorder="1" applyProtection="1"/>
    <xf numFmtId="172" fontId="51" fillId="14" borderId="0" xfId="0" applyFont="1" applyFill="1" applyAlignment="1" applyProtection="1">
      <alignment horizontal="left" wrapText="1"/>
      <protection locked="0"/>
    </xf>
    <xf numFmtId="37" fontId="51" fillId="14" borderId="0" xfId="0" applyNumberFormat="1" applyFont="1" applyFill="1" applyAlignment="1" applyProtection="1">
      <alignment horizontal="right"/>
      <protection locked="0"/>
    </xf>
    <xf numFmtId="37" fontId="51" fillId="14" borderId="1" xfId="0" applyNumberFormat="1" applyFont="1" applyFill="1" applyBorder="1" applyAlignment="1" applyProtection="1">
      <alignment horizontal="right"/>
      <protection locked="0"/>
    </xf>
    <xf numFmtId="41" fontId="51" fillId="14" borderId="1" xfId="0" applyNumberFormat="1" applyFont="1" applyFill="1" applyBorder="1" applyAlignment="1" applyProtection="1">
      <alignment horizontal="right"/>
      <protection locked="0"/>
    </xf>
    <xf numFmtId="172" fontId="55" fillId="14" borderId="10" xfId="0" applyFont="1" applyFill="1" applyBorder="1" applyProtection="1">
      <protection locked="0"/>
    </xf>
    <xf numFmtId="172" fontId="55" fillId="14" borderId="0" xfId="0" applyFont="1" applyFill="1" applyBorder="1" applyProtection="1">
      <protection locked="0"/>
    </xf>
    <xf numFmtId="173" fontId="51" fillId="14" borderId="1" xfId="59" applyNumberFormat="1" applyFont="1" applyFill="1" applyBorder="1" applyAlignment="1" applyProtection="1">
      <protection locked="0"/>
    </xf>
    <xf numFmtId="43" fontId="45" fillId="14" borderId="0" xfId="59" applyFont="1" applyFill="1" applyBorder="1" applyAlignment="1" applyProtection="1">
      <alignment horizontal="center"/>
      <protection locked="0"/>
    </xf>
    <xf numFmtId="174" fontId="45" fillId="14" borderId="0" xfId="93" applyNumberFormat="1" applyFont="1" applyFill="1" applyAlignment="1" applyProtection="1">
      <protection locked="0"/>
    </xf>
    <xf numFmtId="173" fontId="45" fillId="14" borderId="0" xfId="59" applyNumberFormat="1" applyFont="1" applyFill="1" applyProtection="1">
      <protection locked="0"/>
    </xf>
    <xf numFmtId="10" fontId="45" fillId="14" borderId="0" xfId="266" applyNumberFormat="1" applyFont="1" applyFill="1" applyAlignment="1" applyProtection="1">
      <protection locked="0"/>
    </xf>
    <xf numFmtId="173" fontId="45" fillId="14" borderId="1" xfId="59" applyNumberFormat="1" applyFont="1" applyFill="1" applyBorder="1" applyAlignment="1" applyProtection="1">
      <protection locked="0"/>
    </xf>
    <xf numFmtId="172" fontId="55" fillId="14" borderId="0" xfId="209" applyFont="1" applyFill="1" applyProtection="1">
      <protection locked="0"/>
    </xf>
    <xf numFmtId="0" fontId="55" fillId="14" borderId="0" xfId="59" applyNumberFormat="1" applyFont="1" applyFill="1" applyAlignment="1" applyProtection="1">
      <alignment horizontal="left"/>
      <protection locked="0"/>
    </xf>
    <xf numFmtId="174" fontId="55" fillId="14" borderId="0" xfId="93" applyNumberFormat="1" applyFont="1" applyFill="1" applyProtection="1">
      <protection locked="0"/>
    </xf>
    <xf numFmtId="172" fontId="55" fillId="14" borderId="0" xfId="201" applyFont="1" applyFill="1" applyAlignment="1" applyProtection="1">
      <alignment horizontal="left"/>
      <protection locked="0"/>
    </xf>
    <xf numFmtId="172" fontId="55" fillId="14" borderId="0" xfId="209" applyFont="1" applyFill="1" applyBorder="1" applyAlignment="1" applyProtection="1">
      <protection locked="0"/>
    </xf>
    <xf numFmtId="172" fontId="55" fillId="14" borderId="0" xfId="201" applyFont="1" applyFill="1" applyBorder="1" applyAlignment="1" applyProtection="1">
      <alignment horizontal="left"/>
      <protection locked="0"/>
    </xf>
    <xf numFmtId="174" fontId="55" fillId="14" borderId="7" xfId="93" applyNumberFormat="1" applyFont="1" applyFill="1" applyBorder="1" applyAlignment="1" applyProtection="1">
      <alignment horizontal="center"/>
      <protection locked="0"/>
    </xf>
    <xf numFmtId="173" fontId="55" fillId="14" borderId="15" xfId="59" applyNumberFormat="1" applyFont="1" applyFill="1" applyBorder="1" applyAlignment="1" applyProtection="1">
      <protection locked="0"/>
    </xf>
    <xf numFmtId="173" fontId="55" fillId="14" borderId="12" xfId="59" applyNumberFormat="1" applyFont="1" applyFill="1" applyBorder="1" applyAlignment="1" applyProtection="1">
      <alignment horizontal="center"/>
      <protection locked="0"/>
    </xf>
    <xf numFmtId="43" fontId="55" fillId="14" borderId="22" xfId="59" applyFont="1" applyFill="1" applyBorder="1" applyProtection="1">
      <protection locked="0"/>
    </xf>
    <xf numFmtId="173" fontId="55" fillId="14" borderId="11" xfId="59" applyNumberFormat="1" applyFont="1" applyFill="1" applyBorder="1" applyProtection="1">
      <protection locked="0"/>
    </xf>
    <xf numFmtId="173" fontId="55" fillId="14" borderId="11" xfId="59" applyNumberFormat="1" applyFont="1" applyFill="1" applyBorder="1" applyAlignment="1" applyProtection="1">
      <alignment horizontal="center"/>
      <protection locked="0"/>
    </xf>
    <xf numFmtId="173" fontId="55" fillId="0" borderId="0" xfId="59" applyNumberFormat="1" applyFont="1" applyFill="1" applyBorder="1" applyAlignment="1" applyProtection="1">
      <alignment horizontal="center"/>
      <protection locked="0"/>
    </xf>
    <xf numFmtId="182" fontId="122" fillId="14" borderId="0" xfId="59" applyNumberFormat="1" applyFont="1" applyFill="1" applyProtection="1">
      <protection locked="0"/>
    </xf>
    <xf numFmtId="0" fontId="55" fillId="14" borderId="0" xfId="59" applyNumberFormat="1" applyFont="1" applyFill="1" applyProtection="1">
      <protection locked="0"/>
    </xf>
    <xf numFmtId="0" fontId="51" fillId="0" borderId="9" xfId="184" applyFont="1" applyBorder="1"/>
    <xf numFmtId="173" fontId="51" fillId="14" borderId="9" xfId="540" applyNumberFormat="1" applyFont="1" applyFill="1" applyBorder="1" applyProtection="1">
      <protection locked="0"/>
    </xf>
    <xf numFmtId="172" fontId="55" fillId="0" borderId="10" xfId="209" applyFont="1" applyBorder="1"/>
    <xf numFmtId="172" fontId="55" fillId="0" borderId="0" xfId="201" applyFont="1"/>
    <xf numFmtId="172" fontId="55" fillId="14" borderId="0" xfId="201" applyFont="1" applyFill="1" applyProtection="1">
      <protection locked="0"/>
    </xf>
    <xf numFmtId="182" fontId="55" fillId="0" borderId="0" xfId="59" applyNumberFormat="1" applyFont="1" applyFill="1" applyBorder="1" applyProtection="1"/>
    <xf numFmtId="0" fontId="55" fillId="0" borderId="0" xfId="188" applyNumberFormat="1" applyFont="1" applyFill="1" applyAlignment="1" applyProtection="1">
      <alignment vertical="top" wrapText="1"/>
    </xf>
    <xf numFmtId="172" fontId="55" fillId="0" borderId="0" xfId="0" applyFont="1" applyFill="1" applyAlignment="1" applyProtection="1">
      <alignment horizontal="left" vertical="center" wrapText="1"/>
    </xf>
    <xf numFmtId="172" fontId="62" fillId="0" borderId="0" xfId="0" applyFont="1" applyFill="1" applyAlignment="1" applyProtection="1">
      <alignment horizontal="center"/>
    </xf>
    <xf numFmtId="0" fontId="51" fillId="0" borderId="0" xfId="389" applyFont="1" applyFill="1" applyBorder="1" applyAlignment="1" applyProtection="1">
      <alignment horizontal="center"/>
    </xf>
    <xf numFmtId="172" fontId="55" fillId="14" borderId="0" xfId="1131" applyFont="1" applyFill="1" applyProtection="1">
      <protection locked="0"/>
    </xf>
    <xf numFmtId="10" fontId="55" fillId="14" borderId="0" xfId="731" applyNumberFormat="1" applyFont="1" applyFill="1" applyProtection="1">
      <protection locked="0"/>
    </xf>
    <xf numFmtId="41" fontId="108" fillId="14" borderId="9" xfId="389" applyNumberFormat="1" applyFont="1" applyFill="1" applyBorder="1" applyProtection="1">
      <protection locked="0"/>
    </xf>
    <xf numFmtId="41" fontId="51" fillId="14" borderId="20" xfId="389" applyNumberFormat="1" applyFont="1" applyFill="1" applyBorder="1" applyProtection="1">
      <protection locked="0"/>
    </xf>
    <xf numFmtId="37" fontId="55" fillId="14" borderId="9" xfId="396" applyNumberFormat="1" applyFont="1" applyFill="1" applyBorder="1" applyProtection="1">
      <protection locked="0"/>
    </xf>
    <xf numFmtId="37" fontId="55" fillId="14" borderId="9" xfId="389" applyNumberFormat="1" applyFont="1" applyFill="1" applyBorder="1" applyAlignment="1" applyProtection="1">
      <protection locked="0"/>
    </xf>
    <xf numFmtId="41" fontId="55" fillId="14" borderId="9" xfId="389" applyNumberFormat="1" applyFont="1" applyFill="1" applyBorder="1" applyProtection="1">
      <protection locked="0"/>
    </xf>
    <xf numFmtId="0" fontId="55" fillId="0" borderId="0" xfId="211" applyNumberFormat="1" applyFont="1" applyFill="1" applyAlignment="1" applyProtection="1">
      <alignment vertical="top" wrapText="1"/>
    </xf>
    <xf numFmtId="0" fontId="55" fillId="0" borderId="0" xfId="188" quotePrefix="1" applyNumberFormat="1" applyFont="1" applyFill="1" applyAlignment="1" applyProtection="1">
      <alignment horizontal="left" vertical="top" wrapText="1"/>
    </xf>
    <xf numFmtId="172" fontId="55" fillId="0" borderId="0" xfId="211" applyFont="1" applyFill="1" applyAlignment="1" applyProtection="1">
      <alignment horizontal="center"/>
    </xf>
    <xf numFmtId="49" fontId="55" fillId="0" borderId="0" xfId="211" applyNumberFormat="1" applyFont="1" applyFill="1" applyAlignment="1" applyProtection="1">
      <alignment horizontal="center"/>
    </xf>
    <xf numFmtId="0" fontId="91" fillId="0" borderId="0" xfId="211" applyNumberFormat="1" applyFont="1" applyFill="1" applyAlignment="1" applyProtection="1">
      <alignment vertical="top" wrapText="1"/>
    </xf>
    <xf numFmtId="0" fontId="55" fillId="0" borderId="0" xfId="188" quotePrefix="1" applyNumberFormat="1" applyFont="1" applyFill="1" applyAlignment="1" applyProtection="1">
      <alignment vertical="top" wrapText="1"/>
    </xf>
    <xf numFmtId="0" fontId="55" fillId="0" borderId="0" xfId="188" applyNumberFormat="1" applyFont="1" applyFill="1" applyAlignment="1" applyProtection="1">
      <alignment vertical="top" wrapText="1"/>
    </xf>
    <xf numFmtId="172" fontId="55" fillId="0" borderId="0" xfId="0" applyFont="1" applyFill="1" applyAlignment="1" applyProtection="1">
      <alignment horizontal="left" wrapText="1"/>
    </xf>
    <xf numFmtId="0" fontId="55" fillId="0" borderId="0" xfId="206" applyFont="1" applyFill="1" applyAlignment="1" applyProtection="1">
      <alignment vertical="top" wrapText="1"/>
    </xf>
    <xf numFmtId="0" fontId="55" fillId="0" borderId="0" xfId="0" applyNumberFormat="1" applyFont="1" applyFill="1" applyBorder="1" applyAlignment="1" applyProtection="1">
      <alignment horizontal="left" vertical="top" wrapText="1"/>
    </xf>
    <xf numFmtId="172" fontId="55" fillId="0" borderId="0" xfId="0" applyFont="1" applyFill="1" applyAlignment="1" applyProtection="1">
      <alignment horizontal="left" vertical="center" wrapText="1"/>
    </xf>
    <xf numFmtId="172" fontId="55" fillId="0" borderId="0" xfId="201" applyFont="1" applyFill="1" applyBorder="1" applyAlignment="1" applyProtection="1">
      <alignment horizontal="left"/>
    </xf>
    <xf numFmtId="172" fontId="55" fillId="0" borderId="0" xfId="201" applyFont="1" applyFill="1" applyBorder="1" applyAlignment="1" applyProtection="1">
      <alignment horizontal="left" vertical="top" wrapText="1"/>
    </xf>
    <xf numFmtId="172" fontId="55" fillId="0" borderId="0" xfId="201" applyFont="1" applyFill="1" applyBorder="1" applyAlignment="1" applyProtection="1">
      <alignment horizontal="left" wrapText="1"/>
    </xf>
    <xf numFmtId="172" fontId="55" fillId="0" borderId="0" xfId="201" applyFont="1" applyFill="1" applyAlignment="1" applyProtection="1">
      <alignment horizontal="left" vertical="top" wrapText="1"/>
    </xf>
    <xf numFmtId="172" fontId="62" fillId="0" borderId="19" xfId="201" applyFont="1" applyFill="1" applyBorder="1" applyAlignment="1" applyProtection="1">
      <alignment horizontal="center"/>
    </xf>
    <xf numFmtId="172" fontId="62" fillId="0" borderId="17" xfId="201" applyFont="1" applyFill="1" applyBorder="1" applyAlignment="1" applyProtection="1">
      <alignment horizontal="center"/>
    </xf>
    <xf numFmtId="172" fontId="55" fillId="0" borderId="19" xfId="0" applyFont="1" applyFill="1" applyBorder="1" applyAlignment="1" applyProtection="1">
      <alignment horizontal="center"/>
    </xf>
    <xf numFmtId="172" fontId="55" fillId="0" borderId="20" xfId="0" applyFont="1" applyFill="1" applyBorder="1" applyAlignment="1" applyProtection="1">
      <alignment horizontal="center"/>
    </xf>
    <xf numFmtId="172" fontId="55" fillId="0" borderId="17" xfId="0" applyFont="1" applyFill="1" applyBorder="1" applyAlignment="1" applyProtection="1">
      <alignment horizontal="center"/>
    </xf>
    <xf numFmtId="172" fontId="55" fillId="0" borderId="21" xfId="0" applyFont="1" applyFill="1" applyBorder="1" applyAlignment="1" applyProtection="1">
      <alignment horizontal="center"/>
    </xf>
    <xf numFmtId="172" fontId="62" fillId="0" borderId="22" xfId="201" applyFont="1" applyFill="1" applyBorder="1" applyAlignment="1" applyProtection="1">
      <alignment horizontal="center" wrapText="1"/>
    </xf>
    <xf numFmtId="172" fontId="62" fillId="0" borderId="15" xfId="201" applyFont="1" applyFill="1" applyBorder="1" applyAlignment="1" applyProtection="1">
      <alignment horizontal="center" wrapText="1"/>
    </xf>
    <xf numFmtId="172" fontId="55" fillId="0" borderId="0" xfId="0" applyFont="1" applyFill="1" applyAlignment="1" applyProtection="1">
      <alignment horizontal="left" vertical="top" wrapText="1"/>
    </xf>
    <xf numFmtId="0" fontId="55" fillId="0" borderId="0" xfId="188" applyNumberFormat="1" applyFont="1" applyFill="1" applyAlignment="1" applyProtection="1">
      <alignment horizontal="left" vertical="top" wrapText="1"/>
    </xf>
    <xf numFmtId="172" fontId="62" fillId="15" borderId="16" xfId="0" applyFont="1" applyFill="1" applyBorder="1" applyAlignment="1" applyProtection="1">
      <alignment horizontal="center"/>
    </xf>
    <xf numFmtId="172" fontId="62" fillId="15" borderId="7" xfId="0" applyFont="1" applyFill="1" applyBorder="1" applyAlignment="1" applyProtection="1">
      <alignment horizontal="center"/>
    </xf>
    <xf numFmtId="172" fontId="62" fillId="15" borderId="23" xfId="0" applyFont="1" applyFill="1" applyBorder="1" applyAlignment="1" applyProtection="1">
      <alignment horizontal="center"/>
    </xf>
    <xf numFmtId="0" fontId="62" fillId="15" borderId="16" xfId="212" applyFont="1" applyFill="1" applyBorder="1" applyAlignment="1" applyProtection="1">
      <alignment horizontal="center"/>
    </xf>
    <xf numFmtId="0" fontId="62" fillId="15" borderId="7" xfId="212" applyFont="1" applyFill="1" applyBorder="1" applyAlignment="1" applyProtection="1">
      <alignment horizontal="center"/>
    </xf>
    <xf numFmtId="0" fontId="62" fillId="15" borderId="23" xfId="212" applyFont="1" applyFill="1" applyBorder="1" applyAlignment="1" applyProtection="1">
      <alignment horizontal="center"/>
    </xf>
    <xf numFmtId="172" fontId="62" fillId="0" borderId="0" xfId="0" applyFont="1" applyFill="1" applyAlignment="1" applyProtection="1">
      <alignment horizontal="center"/>
    </xf>
    <xf numFmtId="172" fontId="55" fillId="0" borderId="2" xfId="0" applyFont="1" applyFill="1" applyBorder="1" applyAlignment="1" applyProtection="1">
      <alignment horizontal="center"/>
    </xf>
    <xf numFmtId="0" fontId="84" fillId="0" borderId="0" xfId="188" applyNumberFormat="1" applyFont="1" applyFill="1" applyAlignment="1" applyProtection="1">
      <alignment horizontal="left" vertical="top" wrapText="1"/>
    </xf>
    <xf numFmtId="0" fontId="104" fillId="0" borderId="0" xfId="389" applyFont="1" applyFill="1" applyAlignment="1" applyProtection="1">
      <alignment horizontal="center"/>
    </xf>
    <xf numFmtId="49" fontId="105" fillId="0" borderId="0" xfId="389" applyNumberFormat="1" applyFont="1" applyFill="1" applyBorder="1" applyAlignment="1" applyProtection="1">
      <alignment horizontal="center"/>
    </xf>
    <xf numFmtId="0" fontId="105" fillId="0" borderId="0" xfId="389" applyFont="1" applyFill="1" applyBorder="1" applyAlignment="1" applyProtection="1">
      <alignment horizontal="center"/>
    </xf>
    <xf numFmtId="49" fontId="51" fillId="0" borderId="0" xfId="389" applyNumberFormat="1" applyFont="1" applyFill="1" applyBorder="1" applyAlignment="1" applyProtection="1">
      <alignment horizontal="center"/>
    </xf>
    <xf numFmtId="0" fontId="51" fillId="0" borderId="0" xfId="389" applyFont="1" applyFill="1" applyBorder="1" applyAlignment="1" applyProtection="1">
      <alignment horizontal="center"/>
    </xf>
    <xf numFmtId="0" fontId="105" fillId="0" borderId="0" xfId="184" applyFont="1" applyFill="1" applyAlignment="1" applyProtection="1">
      <alignment horizontal="center"/>
    </xf>
    <xf numFmtId="172" fontId="105" fillId="0" borderId="0" xfId="0" applyFont="1" applyFill="1" applyAlignment="1" applyProtection="1">
      <alignment horizontal="center"/>
    </xf>
    <xf numFmtId="0" fontId="102" fillId="0" borderId="0" xfId="398" applyFont="1" applyFill="1" applyAlignment="1" applyProtection="1">
      <alignment horizontal="center"/>
    </xf>
    <xf numFmtId="0" fontId="124" fillId="0" borderId="0" xfId="184" applyFont="1" applyFill="1" applyAlignment="1" applyProtection="1">
      <alignment horizontal="center"/>
    </xf>
    <xf numFmtId="172" fontId="52" fillId="0" borderId="0" xfId="0" applyFont="1" applyFill="1" applyAlignment="1" applyProtection="1">
      <alignment horizontal="center"/>
    </xf>
    <xf numFmtId="172" fontId="108" fillId="0" borderId="0" xfId="0" applyFont="1" applyFill="1" applyAlignment="1" applyProtection="1">
      <alignment horizontal="center"/>
    </xf>
    <xf numFmtId="172" fontId="51" fillId="0" borderId="0" xfId="0" applyFont="1" applyFill="1" applyAlignment="1" applyProtection="1">
      <alignment horizontal="center"/>
    </xf>
    <xf numFmtId="0" fontId="105" fillId="0" borderId="0" xfId="184" applyFont="1" applyAlignment="1" applyProtection="1">
      <alignment horizontal="center"/>
    </xf>
    <xf numFmtId="172" fontId="108" fillId="0" borderId="0" xfId="0" applyFont="1" applyAlignment="1" applyProtection="1">
      <alignment horizontal="center"/>
    </xf>
    <xf numFmtId="172" fontId="55" fillId="0" borderId="0" xfId="0" applyFont="1" applyFill="1" applyBorder="1" applyAlignment="1" applyProtection="1">
      <alignment horizontal="center"/>
    </xf>
    <xf numFmtId="172" fontId="45" fillId="0" borderId="0" xfId="0" applyFont="1" applyAlignment="1" applyProtection="1">
      <alignment horizontal="left" vertical="center" wrapText="1"/>
    </xf>
    <xf numFmtId="0" fontId="96" fillId="0" borderId="0" xfId="398" applyFont="1" applyAlignment="1" applyProtection="1">
      <alignment horizontal="center"/>
    </xf>
    <xf numFmtId="172" fontId="45" fillId="0" borderId="0" xfId="0" applyFont="1" applyFill="1" applyAlignment="1" applyProtection="1">
      <alignment horizontal="left" wrapText="1"/>
    </xf>
    <xf numFmtId="0" fontId="45" fillId="0" borderId="0" xfId="398" applyFont="1" applyAlignment="1" applyProtection="1">
      <alignment horizontal="left" vertical="top" wrapText="1"/>
    </xf>
    <xf numFmtId="0" fontId="45" fillId="0" borderId="0" xfId="398" applyFont="1" applyFill="1" applyAlignment="1" applyProtection="1">
      <alignment horizontal="left" vertical="top" wrapText="1"/>
    </xf>
    <xf numFmtId="49" fontId="45" fillId="0" borderId="0" xfId="398" applyNumberFormat="1" applyFont="1" applyAlignment="1" applyProtection="1">
      <alignment horizontal="left" vertical="top" wrapText="1"/>
    </xf>
    <xf numFmtId="173" fontId="96" fillId="0" borderId="30" xfId="59" applyNumberFormat="1" applyFont="1" applyFill="1" applyBorder="1" applyAlignment="1" applyProtection="1">
      <alignment horizontal="center"/>
    </xf>
    <xf numFmtId="173" fontId="96" fillId="0" borderId="6" xfId="59" applyNumberFormat="1" applyFont="1" applyFill="1" applyBorder="1" applyAlignment="1" applyProtection="1">
      <alignment horizontal="center"/>
    </xf>
    <xf numFmtId="173" fontId="96" fillId="0" borderId="31" xfId="59" applyNumberFormat="1" applyFont="1" applyFill="1" applyBorder="1" applyAlignment="1" applyProtection="1">
      <alignment horizontal="center"/>
    </xf>
    <xf numFmtId="0" fontId="51" fillId="0" borderId="0" xfId="0" applyNumberFormat="1" applyFont="1" applyAlignment="1" applyProtection="1">
      <alignment horizontal="left" wrapText="1"/>
    </xf>
    <xf numFmtId="0" fontId="45" fillId="0" borderId="0" xfId="201" applyNumberFormat="1" applyFont="1" applyFill="1" applyBorder="1" applyAlignment="1" applyProtection="1">
      <alignment horizontal="center"/>
    </xf>
    <xf numFmtId="0" fontId="45" fillId="0" borderId="0" xfId="212" applyFont="1" applyFill="1" applyAlignment="1" applyProtection="1">
      <alignment horizontal="center"/>
    </xf>
    <xf numFmtId="0" fontId="45" fillId="0" borderId="0" xfId="211" applyNumberFormat="1" applyFont="1" applyFill="1" applyAlignment="1" applyProtection="1">
      <alignment horizontal="center"/>
    </xf>
    <xf numFmtId="172" fontId="45" fillId="0" borderId="0" xfId="0" applyFont="1" applyAlignment="1" applyProtection="1">
      <alignment horizontal="left" wrapText="1"/>
    </xf>
  </cellXfs>
  <cellStyles count="1132">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3 2" xfId="395" xr:uid="{00000000-0005-0000-0000-000044000000}"/>
    <cellStyle name="Comma [0] 3 2 2" xfId="445" xr:uid="{00000000-0005-0000-0000-000045000000}"/>
    <cellStyle name="Comma [0] 3 2 2 2" xfId="533" xr:uid="{00000000-0005-0000-0000-000046000000}"/>
    <cellStyle name="Comma [0] 3 2 2 2 2" xfId="722" xr:uid="{00000000-0005-0000-0000-000046000000}"/>
    <cellStyle name="Comma [0] 3 2 2 2 2 2" xfId="1124" xr:uid="{406998E1-65D3-4732-A2A4-F2C3D86EA8B3}"/>
    <cellStyle name="Comma [0] 3 2 2 2 3" xfId="944" xr:uid="{615640F2-1C13-48A8-A9E8-96BF3F9745CB}"/>
    <cellStyle name="Comma [0] 3 2 2 3" xfId="634" xr:uid="{00000000-0005-0000-0000-000045000000}"/>
    <cellStyle name="Comma [0] 3 2 2 3 2" xfId="1036" xr:uid="{1BCED9BE-D309-42AF-919B-4132CD4EFD1A}"/>
    <cellStyle name="Comma [0] 3 2 2 4" xfId="856" xr:uid="{1BAC0848-089F-4C8A-8852-7F85BA181DC3}"/>
    <cellStyle name="Comma [0] 3 2 3" xfId="489" xr:uid="{00000000-0005-0000-0000-000047000000}"/>
    <cellStyle name="Comma [0] 3 2 3 2" xfId="678" xr:uid="{00000000-0005-0000-0000-000047000000}"/>
    <cellStyle name="Comma [0] 3 2 3 2 2" xfId="1080" xr:uid="{AA9897C0-6D22-4EAA-B401-407C2D5CC2E5}"/>
    <cellStyle name="Comma [0] 3 2 3 3" xfId="900" xr:uid="{2D97E105-3CC6-4BC4-A354-CD4444B280F1}"/>
    <cellStyle name="Comma [0] 3 2 4" xfId="590" xr:uid="{00000000-0005-0000-0000-000044000000}"/>
    <cellStyle name="Comma [0] 3 2 4 2" xfId="992" xr:uid="{658CC2BD-94EB-4FAA-A80A-60CA46097BCA}"/>
    <cellStyle name="Comma [0] 3 2 5" xfId="812" xr:uid="{1D3A84FA-D047-427B-99EA-9E7998DF8FAF}"/>
    <cellStyle name="Comma [1]" xfId="69" xr:uid="{00000000-0005-0000-0000-000048000000}"/>
    <cellStyle name="Comma [2]" xfId="70" xr:uid="{00000000-0005-0000-0000-000049000000}"/>
    <cellStyle name="Comma [3]" xfId="71" xr:uid="{00000000-0005-0000-0000-00004A000000}"/>
    <cellStyle name="Comma 0.0" xfId="72" xr:uid="{00000000-0005-0000-0000-00004B000000}"/>
    <cellStyle name="Comma 0.00" xfId="73" xr:uid="{00000000-0005-0000-0000-00004C000000}"/>
    <cellStyle name="Comma 0.000" xfId="74" xr:uid="{00000000-0005-0000-0000-00004D000000}"/>
    <cellStyle name="Comma 0.0000" xfId="75" xr:uid="{00000000-0005-0000-0000-00004E000000}"/>
    <cellStyle name="Comma 10" xfId="76" xr:uid="{00000000-0005-0000-0000-00004F000000}"/>
    <cellStyle name="Comma 11" xfId="77" xr:uid="{00000000-0005-0000-0000-000050000000}"/>
    <cellStyle name="Comma 12" xfId="381" xr:uid="{00000000-0005-0000-0000-000051000000}"/>
    <cellStyle name="Comma 12 2" xfId="435" xr:uid="{00000000-0005-0000-0000-000052000000}"/>
    <cellStyle name="Comma 12 2 2" xfId="523" xr:uid="{00000000-0005-0000-0000-000053000000}"/>
    <cellStyle name="Comma 12 2 2 2" xfId="712" xr:uid="{00000000-0005-0000-0000-000053000000}"/>
    <cellStyle name="Comma 12 2 2 2 2" xfId="1114" xr:uid="{211231CF-B4E4-4853-A05C-D0D0C2146832}"/>
    <cellStyle name="Comma 12 2 2 3" xfId="934" xr:uid="{2F1A9611-F687-440B-B370-6131836917DF}"/>
    <cellStyle name="Comma 12 2 3" xfId="624" xr:uid="{00000000-0005-0000-0000-000052000000}"/>
    <cellStyle name="Comma 12 2 3 2" xfId="1026" xr:uid="{A1DC4B3F-15DC-4221-A1A9-F7C301E0FCA3}"/>
    <cellStyle name="Comma 12 2 4" xfId="846" xr:uid="{324056A7-D5EE-4D68-B51E-C49547B42F85}"/>
    <cellStyle name="Comma 12 3" xfId="392" xr:uid="{00000000-0005-0000-0000-000054000000}"/>
    <cellStyle name="Comma 12 3 2" xfId="403" xr:uid="{00000000-0005-0000-0000-000055000000}"/>
    <cellStyle name="Comma 12 3 3" xfId="442" xr:uid="{00000000-0005-0000-0000-000056000000}"/>
    <cellStyle name="Comma 12 3 3 2" xfId="530" xr:uid="{00000000-0005-0000-0000-000057000000}"/>
    <cellStyle name="Comma 12 3 3 2 2" xfId="719" xr:uid="{00000000-0005-0000-0000-000057000000}"/>
    <cellStyle name="Comma 12 3 3 2 2 2" xfId="1121" xr:uid="{92E1A4F3-F2CA-42D8-9789-0DD5965B8F6C}"/>
    <cellStyle name="Comma 12 3 3 2 3" xfId="941" xr:uid="{6B1ADEDC-B55A-444D-8566-CB8383DDE263}"/>
    <cellStyle name="Comma 12 3 3 3" xfId="631" xr:uid="{00000000-0005-0000-0000-000056000000}"/>
    <cellStyle name="Comma 12 3 3 3 2" xfId="1033" xr:uid="{B006C6D1-4EF1-477B-B6F5-2B985ADA711C}"/>
    <cellStyle name="Comma 12 3 3 4" xfId="853" xr:uid="{8B8728CA-894F-4766-ABC7-858103C3512D}"/>
    <cellStyle name="Comma 12 3 4" xfId="486" xr:uid="{00000000-0005-0000-0000-000058000000}"/>
    <cellStyle name="Comma 12 3 4 2" xfId="675" xr:uid="{00000000-0005-0000-0000-000058000000}"/>
    <cellStyle name="Comma 12 3 4 2 2" xfId="1077" xr:uid="{02DEDFAA-CB40-4E62-9FA1-929DE99437FA}"/>
    <cellStyle name="Comma 12 3 4 3" xfId="897" xr:uid="{01AAF7C4-1CE7-4308-8647-2CF417D0718B}"/>
    <cellStyle name="Comma 12 3 5" xfId="587" xr:uid="{00000000-0005-0000-0000-000054000000}"/>
    <cellStyle name="Comma 12 3 5 2" xfId="989" xr:uid="{629EA6F6-BB1A-483F-A4CF-8DEC872C2212}"/>
    <cellStyle name="Comma 12 3 6" xfId="809" xr:uid="{D5749EEA-E01D-41F4-8469-2B0BE7FA6BE8}"/>
    <cellStyle name="Comma 12 4" xfId="479" xr:uid="{00000000-0005-0000-0000-000059000000}"/>
    <cellStyle name="Comma 12 4 2" xfId="668" xr:uid="{00000000-0005-0000-0000-000059000000}"/>
    <cellStyle name="Comma 12 4 2 2" xfId="1070" xr:uid="{3D87B576-54B2-4BDD-83AC-1ECA686FAD3F}"/>
    <cellStyle name="Comma 12 4 3" xfId="890" xr:uid="{3AE1CE6A-FCAE-4FE2-8412-1FD4C5A03A36}"/>
    <cellStyle name="Comma 12 5" xfId="580" xr:uid="{00000000-0005-0000-0000-000051000000}"/>
    <cellStyle name="Comma 12 5 2" xfId="982" xr:uid="{E8254974-8E49-418F-8BA8-AE271C702478}"/>
    <cellStyle name="Comma 12 6" xfId="802" xr:uid="{90647C9D-12D0-474D-B3E7-47CFABBD51F8}"/>
    <cellStyle name="Comma 13" xfId="397" xr:uid="{00000000-0005-0000-0000-00005A000000}"/>
    <cellStyle name="Comma 13 2" xfId="394" xr:uid="{00000000-0005-0000-0000-00005B000000}"/>
    <cellStyle name="Comma 13 2 2" xfId="405" xr:uid="{00000000-0005-0000-0000-00005C000000}"/>
    <cellStyle name="Comma 13 2 3" xfId="444" xr:uid="{00000000-0005-0000-0000-00005D000000}"/>
    <cellStyle name="Comma 13 2 3 2" xfId="532" xr:uid="{00000000-0005-0000-0000-00005E000000}"/>
    <cellStyle name="Comma 13 2 3 2 2" xfId="721" xr:uid="{00000000-0005-0000-0000-00005E000000}"/>
    <cellStyle name="Comma 13 2 3 2 2 2" xfId="1123" xr:uid="{BCC61F3D-5B3F-47DB-BB00-F2AF3B5C3FDA}"/>
    <cellStyle name="Comma 13 2 3 2 3" xfId="943" xr:uid="{38EB6445-5C1C-4668-BBCD-03FD99A59CA6}"/>
    <cellStyle name="Comma 13 2 3 3" xfId="633" xr:uid="{00000000-0005-0000-0000-00005D000000}"/>
    <cellStyle name="Comma 13 2 3 3 2" xfId="1035" xr:uid="{ED1D7329-1083-4D59-8914-72BB64D738C2}"/>
    <cellStyle name="Comma 13 2 3 4" xfId="855" xr:uid="{BAADC3F4-C711-48D6-8AF9-28A52D469AF1}"/>
    <cellStyle name="Comma 13 2 4" xfId="488" xr:uid="{00000000-0005-0000-0000-00005F000000}"/>
    <cellStyle name="Comma 13 2 4 2" xfId="677" xr:uid="{00000000-0005-0000-0000-00005F000000}"/>
    <cellStyle name="Comma 13 2 4 2 2" xfId="1079" xr:uid="{BDAE348F-F471-43A0-B2E3-7694387D4BDB}"/>
    <cellStyle name="Comma 13 2 4 3" xfId="899" xr:uid="{572BC48E-AD29-4EAF-96AC-8F92A0CFBB65}"/>
    <cellStyle name="Comma 13 2 5" xfId="589" xr:uid="{00000000-0005-0000-0000-00005B000000}"/>
    <cellStyle name="Comma 13 2 5 2" xfId="991" xr:uid="{F6E1C7CF-836C-438C-A2E3-A98B5ECAD429}"/>
    <cellStyle name="Comma 13 2 6" xfId="811" xr:uid="{1635B421-5924-4025-AF1D-90C04D0D8A02}"/>
    <cellStyle name="Comma 14" xfId="540" xr:uid="{00000000-0005-0000-0000-000060000000}"/>
    <cellStyle name="Comma 15" xfId="544" xr:uid="{00000000-0005-0000-0000-00006A000000}"/>
    <cellStyle name="Comma 158" xfId="774" xr:uid="{00000000-0005-0000-0000-000002000000}"/>
    <cellStyle name="Comma 16" xfId="729" xr:uid="{00000000-0005-0000-0000-00004C020000}"/>
    <cellStyle name="Comma 17" xfId="749" xr:uid="{00000000-0005-0000-0000-000052020000}"/>
    <cellStyle name="Comma 18" xfId="754" xr:uid="{00000000-0005-0000-0000-000008030000}"/>
    <cellStyle name="Comma 19" xfId="735" xr:uid="{00000000-0005-0000-0000-00000C030000}"/>
    <cellStyle name="Comma 2" xfId="78" xr:uid="{00000000-0005-0000-0000-000061000000}"/>
    <cellStyle name="Comma 2 2" xfId="79" xr:uid="{00000000-0005-0000-0000-000062000000}"/>
    <cellStyle name="Comma 20" xfId="750" xr:uid="{00000000-0005-0000-0000-000010030000}"/>
    <cellStyle name="Comma 21" xfId="733" xr:uid="{00000000-0005-0000-0000-000014030000}"/>
    <cellStyle name="Comma 22" xfId="734" xr:uid="{00000000-0005-0000-0000-000018030000}"/>
    <cellStyle name="Comma 23" xfId="765" xr:uid="{00000000-0005-0000-0000-00001C030000}"/>
    <cellStyle name="Comma 24" xfId="739" xr:uid="{00000000-0005-0000-0000-000020030000}"/>
    <cellStyle name="Comma 25" xfId="732" xr:uid="{00000000-0005-0000-0000-000024030000}"/>
    <cellStyle name="Comma 26" xfId="772" xr:uid="{00000000-0005-0000-0000-000000000000}"/>
    <cellStyle name="Comma 3" xfId="80" xr:uid="{00000000-0005-0000-0000-000063000000}"/>
    <cellStyle name="Comma 3 2" xfId="81" xr:uid="{00000000-0005-0000-0000-000064000000}"/>
    <cellStyle name="Comma 4" xfId="82" xr:uid="{00000000-0005-0000-0000-000065000000}"/>
    <cellStyle name="Comma 5" xfId="83" xr:uid="{00000000-0005-0000-0000-000066000000}"/>
    <cellStyle name="Comma 6" xfId="84" xr:uid="{00000000-0005-0000-0000-000067000000}"/>
    <cellStyle name="Comma 6 2" xfId="385" xr:uid="{00000000-0005-0000-0000-000068000000}"/>
    <cellStyle name="Comma 6 2 2" xfId="438" xr:uid="{00000000-0005-0000-0000-000069000000}"/>
    <cellStyle name="Comma 6 2 2 2" xfId="526" xr:uid="{00000000-0005-0000-0000-00006A000000}"/>
    <cellStyle name="Comma 6 2 2 2 2" xfId="715" xr:uid="{00000000-0005-0000-0000-00006A000000}"/>
    <cellStyle name="Comma 6 2 2 2 2 2" xfId="1117" xr:uid="{15C3B376-9D8B-4CC0-BBF3-FAA86B3CD0B1}"/>
    <cellStyle name="Comma 6 2 2 2 3" xfId="937" xr:uid="{6EA8F7C7-67C4-4325-A999-B4128A8B70EF}"/>
    <cellStyle name="Comma 6 2 2 3" xfId="627" xr:uid="{00000000-0005-0000-0000-000069000000}"/>
    <cellStyle name="Comma 6 2 2 3 2" xfId="1029" xr:uid="{7668F05A-EF50-4A8B-97FF-598F20B7209B}"/>
    <cellStyle name="Comma 6 2 2 4" xfId="849" xr:uid="{08EB75D4-490C-4DEA-BB0B-5F0496CFCCE8}"/>
    <cellStyle name="Comma 6 2 3" xfId="482" xr:uid="{00000000-0005-0000-0000-00006B000000}"/>
    <cellStyle name="Comma 6 2 3 2" xfId="671" xr:uid="{00000000-0005-0000-0000-00006B000000}"/>
    <cellStyle name="Comma 6 2 3 2 2" xfId="1073" xr:uid="{48B4868E-9110-4A1B-86A7-435D6E8A0ACE}"/>
    <cellStyle name="Comma 6 2 3 3" xfId="893" xr:uid="{BF21618E-CA2C-4D5E-A656-049BF696967D}"/>
    <cellStyle name="Comma 6 2 4" xfId="583" xr:uid="{00000000-0005-0000-0000-000068000000}"/>
    <cellStyle name="Comma 6 2 4 2" xfId="985" xr:uid="{AD822721-8E09-453E-8DFD-FAFA5FC09577}"/>
    <cellStyle name="Comma 6 2 5" xfId="805" xr:uid="{07B93BA0-BE4F-41EE-886D-AC364B76EC9F}"/>
    <cellStyle name="Comma 7" xfId="85" xr:uid="{00000000-0005-0000-0000-00006C000000}"/>
    <cellStyle name="Comma 8" xfId="86" xr:uid="{00000000-0005-0000-0000-00006D000000}"/>
    <cellStyle name="Comma 8 2" xfId="87" xr:uid="{00000000-0005-0000-0000-00006E000000}"/>
    <cellStyle name="Comma 8 2 2" xfId="365" xr:uid="{00000000-0005-0000-0000-00006F000000}"/>
    <cellStyle name="Comma 9" xfId="88" xr:uid="{00000000-0005-0000-0000-000070000000}"/>
    <cellStyle name="Comma 9 2" xfId="366" xr:uid="{00000000-0005-0000-0000-000071000000}"/>
    <cellStyle name="Comma Input" xfId="89" xr:uid="{00000000-0005-0000-0000-000072000000}"/>
    <cellStyle name="Comma0" xfId="90" xr:uid="{00000000-0005-0000-0000-000073000000}"/>
    <cellStyle name="Company Name" xfId="91" xr:uid="{00000000-0005-0000-0000-000074000000}"/>
    <cellStyle name="Config Data" xfId="92" xr:uid="{00000000-0005-0000-0000-000075000000}"/>
    <cellStyle name="Currency" xfId="93" builtinId="4"/>
    <cellStyle name="Currency [0] 2" xfId="771" xr:uid="{00000000-0005-0000-0000-000004000000}"/>
    <cellStyle name="Currency [1]" xfId="94" xr:uid="{00000000-0005-0000-0000-000077000000}"/>
    <cellStyle name="Currency [2]" xfId="95" xr:uid="{00000000-0005-0000-0000-000078000000}"/>
    <cellStyle name="Currency [3]" xfId="96" xr:uid="{00000000-0005-0000-0000-000079000000}"/>
    <cellStyle name="Currency 0.0" xfId="97" xr:uid="{00000000-0005-0000-0000-00007A000000}"/>
    <cellStyle name="Currency 0.00" xfId="98" xr:uid="{00000000-0005-0000-0000-00007B000000}"/>
    <cellStyle name="Currency 0.000" xfId="99" xr:uid="{00000000-0005-0000-0000-00007C000000}"/>
    <cellStyle name="Currency 0.0000" xfId="100" xr:uid="{00000000-0005-0000-0000-00007D000000}"/>
    <cellStyle name="Currency 10" xfId="755" xr:uid="{00000000-0005-0000-0000-000011030000}"/>
    <cellStyle name="Currency 11" xfId="741" xr:uid="{00000000-0005-0000-0000-000015030000}"/>
    <cellStyle name="Currency 12" xfId="744" xr:uid="{00000000-0005-0000-0000-000019030000}"/>
    <cellStyle name="Currency 13" xfId="756" xr:uid="{00000000-0005-0000-0000-00001D030000}"/>
    <cellStyle name="Currency 14" xfId="766" xr:uid="{00000000-0005-0000-0000-000021030000}"/>
    <cellStyle name="Currency 15" xfId="761" xr:uid="{00000000-0005-0000-0000-000025030000}"/>
    <cellStyle name="Currency 16" xfId="770" xr:uid="{00000000-0005-0000-0000-000003000000}"/>
    <cellStyle name="Currency 2" xfId="101" xr:uid="{00000000-0005-0000-0000-00007E000000}"/>
    <cellStyle name="Currency 2 2" xfId="102" xr:uid="{00000000-0005-0000-0000-00007F000000}"/>
    <cellStyle name="Currency 3" xfId="103" xr:uid="{00000000-0005-0000-0000-000080000000}"/>
    <cellStyle name="Currency 3 2" xfId="104" xr:uid="{00000000-0005-0000-0000-000081000000}"/>
    <cellStyle name="Currency 4" xfId="105" xr:uid="{00000000-0005-0000-0000-000082000000}"/>
    <cellStyle name="Currency 5" xfId="545" xr:uid="{00000000-0005-0000-0000-0000A6000000}"/>
    <cellStyle name="Currency 6" xfId="730" xr:uid="{00000000-0005-0000-0000-00004D020000}"/>
    <cellStyle name="Currency 7" xfId="748" xr:uid="{00000000-0005-0000-0000-000067020000}"/>
    <cellStyle name="Currency 8" xfId="740" xr:uid="{00000000-0005-0000-0000-000009030000}"/>
    <cellStyle name="Currency 9" xfId="743" xr:uid="{00000000-0005-0000-0000-00000D030000}"/>
    <cellStyle name="Currency Input" xfId="106" xr:uid="{00000000-0005-0000-0000-000083000000}"/>
    <cellStyle name="Currency0" xfId="107" xr:uid="{00000000-0005-0000-0000-000084000000}"/>
    <cellStyle name="d" xfId="108" xr:uid="{00000000-0005-0000-0000-000085000000}"/>
    <cellStyle name="d," xfId="109" xr:uid="{00000000-0005-0000-0000-000086000000}"/>
    <cellStyle name="d1" xfId="110" xr:uid="{00000000-0005-0000-0000-000087000000}"/>
    <cellStyle name="d1," xfId="111" xr:uid="{00000000-0005-0000-0000-000088000000}"/>
    <cellStyle name="d2" xfId="112" xr:uid="{00000000-0005-0000-0000-000089000000}"/>
    <cellStyle name="d2," xfId="113" xr:uid="{00000000-0005-0000-0000-00008A000000}"/>
    <cellStyle name="d3" xfId="114" xr:uid="{00000000-0005-0000-0000-00008B000000}"/>
    <cellStyle name="Dash" xfId="115" xr:uid="{00000000-0005-0000-0000-00008C000000}"/>
    <cellStyle name="Date" xfId="116" xr:uid="{00000000-0005-0000-0000-00008D000000}"/>
    <cellStyle name="Date [Abbreviated]" xfId="117" xr:uid="{00000000-0005-0000-0000-00008E000000}"/>
    <cellStyle name="Date [Long Europe]" xfId="118" xr:uid="{00000000-0005-0000-0000-00008F000000}"/>
    <cellStyle name="Date [Long U.S.]" xfId="119" xr:uid="{00000000-0005-0000-0000-000090000000}"/>
    <cellStyle name="Date [Short Europe]" xfId="120" xr:uid="{00000000-0005-0000-0000-000091000000}"/>
    <cellStyle name="Date [Short U.S.]" xfId="121" xr:uid="{00000000-0005-0000-0000-000092000000}"/>
    <cellStyle name="Date_ITCM 2010 Template" xfId="122" xr:uid="{00000000-0005-0000-0000-000093000000}"/>
    <cellStyle name="Define$0" xfId="123" xr:uid="{00000000-0005-0000-0000-000094000000}"/>
    <cellStyle name="Define$1" xfId="124" xr:uid="{00000000-0005-0000-0000-000095000000}"/>
    <cellStyle name="Define$2" xfId="125" xr:uid="{00000000-0005-0000-0000-000096000000}"/>
    <cellStyle name="Define0" xfId="126" xr:uid="{00000000-0005-0000-0000-000097000000}"/>
    <cellStyle name="Define1" xfId="127" xr:uid="{00000000-0005-0000-0000-000098000000}"/>
    <cellStyle name="Define1x" xfId="128" xr:uid="{00000000-0005-0000-0000-000099000000}"/>
    <cellStyle name="Define2" xfId="129" xr:uid="{00000000-0005-0000-0000-00009A000000}"/>
    <cellStyle name="Define2x" xfId="130" xr:uid="{00000000-0005-0000-0000-00009B000000}"/>
    <cellStyle name="Dollar" xfId="131" xr:uid="{00000000-0005-0000-0000-00009C000000}"/>
    <cellStyle name="e" xfId="132" xr:uid="{00000000-0005-0000-0000-00009D000000}"/>
    <cellStyle name="e1" xfId="133" xr:uid="{00000000-0005-0000-0000-00009E000000}"/>
    <cellStyle name="e2" xfId="134" xr:uid="{00000000-0005-0000-0000-00009F000000}"/>
    <cellStyle name="Euro" xfId="135" xr:uid="{00000000-0005-0000-0000-0000A0000000}"/>
    <cellStyle name="Fixed" xfId="136" xr:uid="{00000000-0005-0000-0000-0000A1000000}"/>
    <cellStyle name="FOOTER - Style1" xfId="137" xr:uid="{00000000-0005-0000-0000-0000A2000000}"/>
    <cellStyle name="g" xfId="138" xr:uid="{00000000-0005-0000-0000-0000A3000000}"/>
    <cellStyle name="general" xfId="139" xr:uid="{00000000-0005-0000-0000-0000A4000000}"/>
    <cellStyle name="General [C]" xfId="140" xr:uid="{00000000-0005-0000-0000-0000A5000000}"/>
    <cellStyle name="General [R]" xfId="141" xr:uid="{00000000-0005-0000-0000-0000A6000000}"/>
    <cellStyle name="Green" xfId="142" xr:uid="{00000000-0005-0000-0000-0000A7000000}"/>
    <cellStyle name="grey" xfId="143" xr:uid="{00000000-0005-0000-0000-0000A8000000}"/>
    <cellStyle name="Header1" xfId="144" xr:uid="{00000000-0005-0000-0000-0000A9000000}"/>
    <cellStyle name="Header2" xfId="145" xr:uid="{00000000-0005-0000-0000-0000AA000000}"/>
    <cellStyle name="Heading" xfId="146" xr:uid="{00000000-0005-0000-0000-0000AB000000}"/>
    <cellStyle name="Heading 1" xfId="147" builtinId="16" customBuiltin="1"/>
    <cellStyle name="Heading 1 2" xfId="546" xr:uid="{00000000-0005-0000-0000-0000DC000000}"/>
    <cellStyle name="Heading 2" xfId="148" builtinId="17" customBuiltin="1"/>
    <cellStyle name="Heading 2 2" xfId="149" xr:uid="{00000000-0005-0000-0000-0000AE000000}"/>
    <cellStyle name="Heading 2 3" xfId="547" xr:uid="{00000000-0005-0000-0000-0000DD000000}"/>
    <cellStyle name="Heading No Underline" xfId="150" xr:uid="{00000000-0005-0000-0000-0000AF000000}"/>
    <cellStyle name="Heading With Underline" xfId="151" xr:uid="{00000000-0005-0000-0000-0000B0000000}"/>
    <cellStyle name="Heading1" xfId="152" xr:uid="{00000000-0005-0000-0000-0000B1000000}"/>
    <cellStyle name="Heading2" xfId="153" xr:uid="{00000000-0005-0000-0000-0000B2000000}"/>
    <cellStyle name="Headline" xfId="154" xr:uid="{00000000-0005-0000-0000-0000B3000000}"/>
    <cellStyle name="Highlight" xfId="155" xr:uid="{00000000-0005-0000-0000-0000B4000000}"/>
    <cellStyle name="Hyperlink 2" xfId="156" xr:uid="{00000000-0005-0000-0000-0000B5000000}"/>
    <cellStyle name="in" xfId="157" xr:uid="{00000000-0005-0000-0000-0000B6000000}"/>
    <cellStyle name="Indented [0]" xfId="158" xr:uid="{00000000-0005-0000-0000-0000B7000000}"/>
    <cellStyle name="Indented [2]" xfId="159" xr:uid="{00000000-0005-0000-0000-0000B8000000}"/>
    <cellStyle name="Indented [4]" xfId="160" xr:uid="{00000000-0005-0000-0000-0000B9000000}"/>
    <cellStyle name="Indented [6]" xfId="161" xr:uid="{00000000-0005-0000-0000-0000BA000000}"/>
    <cellStyle name="Input [yellow]" xfId="162" xr:uid="{00000000-0005-0000-0000-0000BB000000}"/>
    <cellStyle name="Input$0" xfId="163" xr:uid="{00000000-0005-0000-0000-0000BC000000}"/>
    <cellStyle name="Input$1" xfId="164" xr:uid="{00000000-0005-0000-0000-0000BD000000}"/>
    <cellStyle name="Input$2" xfId="165" xr:uid="{00000000-0005-0000-0000-0000BE000000}"/>
    <cellStyle name="Input0" xfId="166" xr:uid="{00000000-0005-0000-0000-0000BF000000}"/>
    <cellStyle name="Input1" xfId="167" xr:uid="{00000000-0005-0000-0000-0000C0000000}"/>
    <cellStyle name="Input1x" xfId="168" xr:uid="{00000000-0005-0000-0000-0000C1000000}"/>
    <cellStyle name="Input2" xfId="169" xr:uid="{00000000-0005-0000-0000-0000C2000000}"/>
    <cellStyle name="Input2x" xfId="170" xr:uid="{00000000-0005-0000-0000-0000C3000000}"/>
    <cellStyle name="lborder" xfId="171" xr:uid="{00000000-0005-0000-0000-0000C4000000}"/>
    <cellStyle name="LeftSubtitle" xfId="172" xr:uid="{00000000-0005-0000-0000-0000C5000000}"/>
    <cellStyle name="Lines" xfId="173" xr:uid="{00000000-0005-0000-0000-0000C6000000}"/>
    <cellStyle name="m" xfId="174" xr:uid="{00000000-0005-0000-0000-0000C7000000}"/>
    <cellStyle name="m1" xfId="175" xr:uid="{00000000-0005-0000-0000-0000C8000000}"/>
    <cellStyle name="m2" xfId="176" xr:uid="{00000000-0005-0000-0000-0000C9000000}"/>
    <cellStyle name="m3" xfId="177" xr:uid="{00000000-0005-0000-0000-0000CA000000}"/>
    <cellStyle name="Multiple" xfId="178" xr:uid="{00000000-0005-0000-0000-0000CB000000}"/>
    <cellStyle name="Negative" xfId="179" xr:uid="{00000000-0005-0000-0000-0000CC000000}"/>
    <cellStyle name="no dec" xfId="180" xr:uid="{00000000-0005-0000-0000-0000CD000000}"/>
    <cellStyle name="Normal" xfId="0" builtinId="0"/>
    <cellStyle name="Normal - Style1" xfId="181" xr:uid="{00000000-0005-0000-0000-0000CF000000}"/>
    <cellStyle name="Normal 10" xfId="182" xr:uid="{00000000-0005-0000-0000-0000D0000000}"/>
    <cellStyle name="Normal 10 2" xfId="367" xr:uid="{00000000-0005-0000-0000-0000D1000000}"/>
    <cellStyle name="Normal 10 2 2" xfId="421" xr:uid="{00000000-0005-0000-0000-0000D2000000}"/>
    <cellStyle name="Normal 10 2 2 2" xfId="509" xr:uid="{00000000-0005-0000-0000-0000D3000000}"/>
    <cellStyle name="Normal 10 2 2 2 2" xfId="698" xr:uid="{00000000-0005-0000-0000-0000D3000000}"/>
    <cellStyle name="Normal 10 2 2 2 2 2" xfId="1100" xr:uid="{061E185F-5FCB-4DF0-ADE4-D8E43BE7761A}"/>
    <cellStyle name="Normal 10 2 2 2 3" xfId="920" xr:uid="{914A6D6B-6576-49F7-B153-D087F559DA57}"/>
    <cellStyle name="Normal 10 2 2 3" xfId="610" xr:uid="{00000000-0005-0000-0000-0000D2000000}"/>
    <cellStyle name="Normal 10 2 2 3 2" xfId="1012" xr:uid="{DE100C85-728F-4DC1-8B7F-E1E1B20EBF3D}"/>
    <cellStyle name="Normal 10 2 2 4" xfId="832" xr:uid="{ABBABB7D-79D5-44BC-B6D1-956B9F915A54}"/>
    <cellStyle name="Normal 10 2 3" xfId="465" xr:uid="{00000000-0005-0000-0000-0000D4000000}"/>
    <cellStyle name="Normal 10 2 3 2" xfId="654" xr:uid="{00000000-0005-0000-0000-0000D4000000}"/>
    <cellStyle name="Normal 10 2 3 2 2" xfId="1056" xr:uid="{C2A610ED-7412-4998-B1FE-014434E3AA60}"/>
    <cellStyle name="Normal 10 2 3 3" xfId="876" xr:uid="{DA58ADAF-8E67-4BD4-A955-038DDAACCA95}"/>
    <cellStyle name="Normal 10 2 4" xfId="566" xr:uid="{00000000-0005-0000-0000-0000D1000000}"/>
    <cellStyle name="Normal 10 2 4 2" xfId="968" xr:uid="{4FD742DD-2C25-4A57-AA41-3E97001E6B8E}"/>
    <cellStyle name="Normal 10 2 5" xfId="788" xr:uid="{95E8F763-FDBD-4F33-90C7-2D2A4BE39A6C}"/>
    <cellStyle name="Normal 10 3" xfId="390" xr:uid="{00000000-0005-0000-0000-0000D5000000}"/>
    <cellStyle name="Normal 10 4" xfId="408" xr:uid="{00000000-0005-0000-0000-0000D6000000}"/>
    <cellStyle name="Normal 10 4 2" xfId="496" xr:uid="{00000000-0005-0000-0000-0000D7000000}"/>
    <cellStyle name="Normal 10 4 2 2" xfId="685" xr:uid="{00000000-0005-0000-0000-0000D7000000}"/>
    <cellStyle name="Normal 10 4 2 2 2" xfId="1087" xr:uid="{AB936F5D-673F-46C5-B898-404FE31B00DE}"/>
    <cellStyle name="Normal 10 4 2 3" xfId="907" xr:uid="{9917BA9C-2CF6-4D62-AF60-7BADE3EBEDD4}"/>
    <cellStyle name="Normal 10 4 3" xfId="597" xr:uid="{00000000-0005-0000-0000-0000D6000000}"/>
    <cellStyle name="Normal 10 4 3 2" xfId="999" xr:uid="{C7C63829-C932-4918-A27A-DA8972CA2DF0}"/>
    <cellStyle name="Normal 10 4 4" xfId="819" xr:uid="{B0A807FB-753F-4614-ABAD-F8218D03BA31}"/>
    <cellStyle name="Normal 10 5" xfId="452" xr:uid="{00000000-0005-0000-0000-0000D8000000}"/>
    <cellStyle name="Normal 10 5 2" xfId="641" xr:uid="{00000000-0005-0000-0000-0000D8000000}"/>
    <cellStyle name="Normal 10 5 2 2" xfId="1043" xr:uid="{AC915218-951D-4764-87AB-DAF7155E0240}"/>
    <cellStyle name="Normal 10 5 3" xfId="863" xr:uid="{958760AA-6EED-4B89-8B3C-ECE09340C09F}"/>
    <cellStyle name="Normal 10 6" xfId="548" xr:uid="{00000000-0005-0000-0000-0000D0000000}"/>
    <cellStyle name="Normal 10 6 2" xfId="953" xr:uid="{8536B07D-619E-4CD0-981D-F405500C7744}"/>
    <cellStyle name="Normal 10 7" xfId="775" xr:uid="{06338903-9B91-4333-8E3D-99CD11532E38}"/>
    <cellStyle name="Normal 11" xfId="183" xr:uid="{00000000-0005-0000-0000-0000D9000000}"/>
    <cellStyle name="Normal 12" xfId="380" xr:uid="{00000000-0005-0000-0000-0000DA000000}"/>
    <cellStyle name="Normal 12 2" xfId="389" xr:uid="{00000000-0005-0000-0000-0000DB000000}"/>
    <cellStyle name="Normal 12 2 2" xfId="401" xr:uid="{00000000-0005-0000-0000-0000DC000000}"/>
    <cellStyle name="Normal 12 2 2 2" xfId="448" xr:uid="{00000000-0005-0000-0000-0000DD000000}"/>
    <cellStyle name="Normal 12 2 2 2 2" xfId="536" xr:uid="{00000000-0005-0000-0000-0000DE000000}"/>
    <cellStyle name="Normal 12 2 2 2 2 2" xfId="725" xr:uid="{00000000-0005-0000-0000-0000DE000000}"/>
    <cellStyle name="Normal 12 2 2 2 2 2 2" xfId="1127" xr:uid="{BB6640EA-A5AF-4728-972F-1D9E833E79BF}"/>
    <cellStyle name="Normal 12 2 2 2 2 3" xfId="947" xr:uid="{2D3226E1-D6F5-4C72-A1E1-863E8CEC50AE}"/>
    <cellStyle name="Normal 12 2 2 2 3" xfId="637" xr:uid="{00000000-0005-0000-0000-0000DD000000}"/>
    <cellStyle name="Normal 12 2 2 2 3 2" xfId="1039" xr:uid="{EAAF2D4D-B58E-4357-8F84-7EADE1EB91BE}"/>
    <cellStyle name="Normal 12 2 2 2 4" xfId="859" xr:uid="{859D3010-F91B-442A-8613-2E8B8089ED7C}"/>
    <cellStyle name="Normal 12 2 2 3" xfId="492" xr:uid="{00000000-0005-0000-0000-0000DF000000}"/>
    <cellStyle name="Normal 12 2 2 3 2" xfId="681" xr:uid="{00000000-0005-0000-0000-0000DF000000}"/>
    <cellStyle name="Normal 12 2 2 3 2 2" xfId="1083" xr:uid="{E1A09F43-D5B1-4152-BA08-7335EFEEA678}"/>
    <cellStyle name="Normal 12 2 2 3 3" xfId="903" xr:uid="{A0DA2C8C-9572-4FB4-B461-5A7E091FB90A}"/>
    <cellStyle name="Normal 12 2 2 4" xfId="593" xr:uid="{00000000-0005-0000-0000-0000DC000000}"/>
    <cellStyle name="Normal 12 2 2 4 2" xfId="995" xr:uid="{9BFCD343-EC1D-4C71-AD0F-AE83E4095794}"/>
    <cellStyle name="Normal 12 2 2 5" xfId="815" xr:uid="{CD81C57D-5D75-4BDA-8A0A-AE4E7F18A0A4}"/>
    <cellStyle name="Normal 12 2 3" xfId="440" xr:uid="{00000000-0005-0000-0000-0000E0000000}"/>
    <cellStyle name="Normal 12 2 3 2" xfId="528" xr:uid="{00000000-0005-0000-0000-0000E1000000}"/>
    <cellStyle name="Normal 12 2 3 2 2" xfId="717" xr:uid="{00000000-0005-0000-0000-0000E1000000}"/>
    <cellStyle name="Normal 12 2 3 2 2 2" xfId="1119" xr:uid="{897ED382-6B2E-4300-B764-FC8BB663630D}"/>
    <cellStyle name="Normal 12 2 3 2 3" xfId="939" xr:uid="{594BD7ED-93E9-4AB1-AD3B-4588A9368CAE}"/>
    <cellStyle name="Normal 12 2 3 3" xfId="629" xr:uid="{00000000-0005-0000-0000-0000E0000000}"/>
    <cellStyle name="Normal 12 2 3 3 2" xfId="1031" xr:uid="{1AED7B3B-A568-42E3-A580-BB0BC7C796DF}"/>
    <cellStyle name="Normal 12 2 3 4" xfId="851" xr:uid="{744226F9-AC7C-4A34-9B89-3AEC45837784}"/>
    <cellStyle name="Normal 12 2 4" xfId="484" xr:uid="{00000000-0005-0000-0000-0000E2000000}"/>
    <cellStyle name="Normal 12 2 4 2" xfId="673" xr:uid="{00000000-0005-0000-0000-0000E2000000}"/>
    <cellStyle name="Normal 12 2 4 2 2" xfId="1075" xr:uid="{AD03E844-197D-47F1-ACC6-3A1294003B84}"/>
    <cellStyle name="Normal 12 2 4 3" xfId="895" xr:uid="{6A08503E-7ABC-4750-A994-7684792A45E3}"/>
    <cellStyle name="Normal 12 2 5" xfId="585" xr:uid="{00000000-0005-0000-0000-0000DB000000}"/>
    <cellStyle name="Normal 12 2 5 2" xfId="987" xr:uid="{52F7332D-C1D0-48C1-A0EC-DFD6A027598D}"/>
    <cellStyle name="Normal 12 2 6" xfId="807" xr:uid="{C63EC713-D2F1-4140-85F0-2B43479DFD7D}"/>
    <cellStyle name="Normal 12 3" xfId="434" xr:uid="{00000000-0005-0000-0000-0000E3000000}"/>
    <cellStyle name="Normal 12 3 2" xfId="522" xr:uid="{00000000-0005-0000-0000-0000E4000000}"/>
    <cellStyle name="Normal 12 3 2 2" xfId="711" xr:uid="{00000000-0005-0000-0000-0000E4000000}"/>
    <cellStyle name="Normal 12 3 2 2 2" xfId="1113" xr:uid="{5B07C03C-A96D-4384-9C35-53784D35BCE7}"/>
    <cellStyle name="Normal 12 3 2 3" xfId="933" xr:uid="{406F40DF-7EF5-4F02-AB06-69FA35FF6D9C}"/>
    <cellStyle name="Normal 12 3 3" xfId="623" xr:uid="{00000000-0005-0000-0000-0000E3000000}"/>
    <cellStyle name="Normal 12 3 3 2" xfId="1025" xr:uid="{38ECB7EC-DAE1-466A-93C1-736D990C05A9}"/>
    <cellStyle name="Normal 12 3 4" xfId="845" xr:uid="{91E6FD1F-F0FA-427C-9E5C-523173AE5C95}"/>
    <cellStyle name="Normal 12 4" xfId="478" xr:uid="{00000000-0005-0000-0000-0000E5000000}"/>
    <cellStyle name="Normal 12 4 2" xfId="667" xr:uid="{00000000-0005-0000-0000-0000E5000000}"/>
    <cellStyle name="Normal 12 4 2 2" xfId="1069" xr:uid="{9C2805A1-14CE-4D7D-9707-F245B2F09CB6}"/>
    <cellStyle name="Normal 12 4 3" xfId="889" xr:uid="{5A63169D-A296-4E78-BC1C-24D55E294C6D}"/>
    <cellStyle name="Normal 12 5" xfId="579" xr:uid="{00000000-0005-0000-0000-0000DA000000}"/>
    <cellStyle name="Normal 12 5 2" xfId="981" xr:uid="{9D79E5A3-2041-4A18-A571-5662B59A64F3}"/>
    <cellStyle name="Normal 12 6" xfId="801" xr:uid="{0592A37C-4F54-4428-AECC-C640BFA0803C}"/>
    <cellStyle name="Normal 13" xfId="388" xr:uid="{00000000-0005-0000-0000-0000E6000000}"/>
    <cellStyle name="Normal 13 2" xfId="393" xr:uid="{00000000-0005-0000-0000-0000E7000000}"/>
    <cellStyle name="Normal 13 2 2" xfId="404" xr:uid="{00000000-0005-0000-0000-0000E8000000}"/>
    <cellStyle name="Normal 13 2 2 2" xfId="449" xr:uid="{00000000-0005-0000-0000-0000E9000000}"/>
    <cellStyle name="Normal 13 2 2 2 2" xfId="537" xr:uid="{00000000-0005-0000-0000-0000EA000000}"/>
    <cellStyle name="Normal 13 2 2 2 2 2" xfId="726" xr:uid="{00000000-0005-0000-0000-0000EA000000}"/>
    <cellStyle name="Normal 13 2 2 2 2 2 2" xfId="1128" xr:uid="{59CB25DF-FC00-49AE-814B-AAC9C0D27B27}"/>
    <cellStyle name="Normal 13 2 2 2 2 3" xfId="948" xr:uid="{FC5D856A-4412-4760-9FD6-269B28AA41E1}"/>
    <cellStyle name="Normal 13 2 2 2 3" xfId="638" xr:uid="{00000000-0005-0000-0000-0000E9000000}"/>
    <cellStyle name="Normal 13 2 2 2 3 2" xfId="1040" xr:uid="{7527B988-9CA6-485B-83FB-FDCB37C2C88E}"/>
    <cellStyle name="Normal 13 2 2 2 4" xfId="860" xr:uid="{9BFD1E29-58B0-410D-A1BE-3E94A2D510A7}"/>
    <cellStyle name="Normal 13 2 2 3" xfId="493" xr:uid="{00000000-0005-0000-0000-0000EB000000}"/>
    <cellStyle name="Normal 13 2 2 3 2" xfId="682" xr:uid="{00000000-0005-0000-0000-0000EB000000}"/>
    <cellStyle name="Normal 13 2 2 3 2 2" xfId="1084" xr:uid="{70DFC258-15C4-4E80-9736-A09C1F267720}"/>
    <cellStyle name="Normal 13 2 2 3 3" xfId="904" xr:uid="{28C85702-7095-43B1-BE5E-A56AA6E8694A}"/>
    <cellStyle name="Normal 13 2 2 4" xfId="594" xr:uid="{00000000-0005-0000-0000-0000E8000000}"/>
    <cellStyle name="Normal 13 2 2 4 2" xfId="996" xr:uid="{5ADCDD9E-ADC7-478C-B038-C72CABCBFAD2}"/>
    <cellStyle name="Normal 13 2 2 5" xfId="816" xr:uid="{0595892D-AE9C-47E3-B717-3BB9DF700925}"/>
    <cellStyle name="Normal 13 2 3" xfId="443" xr:uid="{00000000-0005-0000-0000-0000EC000000}"/>
    <cellStyle name="Normal 13 2 3 2" xfId="531" xr:uid="{00000000-0005-0000-0000-0000ED000000}"/>
    <cellStyle name="Normal 13 2 3 2 2" xfId="720" xr:uid="{00000000-0005-0000-0000-0000ED000000}"/>
    <cellStyle name="Normal 13 2 3 2 2 2" xfId="1122" xr:uid="{45A02B4F-F611-4D0A-84E7-C8E30C41ED07}"/>
    <cellStyle name="Normal 13 2 3 2 3" xfId="942" xr:uid="{F86E991D-A795-4A6D-BE56-10E51F73D142}"/>
    <cellStyle name="Normal 13 2 3 3" xfId="632" xr:uid="{00000000-0005-0000-0000-0000EC000000}"/>
    <cellStyle name="Normal 13 2 3 3 2" xfId="1034" xr:uid="{2EA74215-9AF7-47B9-BF91-07D05BC6046F}"/>
    <cellStyle name="Normal 13 2 3 4" xfId="854" xr:uid="{93C34319-AF8A-47CB-965C-8FFD2906BA00}"/>
    <cellStyle name="Normal 13 2 4" xfId="487" xr:uid="{00000000-0005-0000-0000-0000EE000000}"/>
    <cellStyle name="Normal 13 2 4 2" xfId="676" xr:uid="{00000000-0005-0000-0000-0000EE000000}"/>
    <cellStyle name="Normal 13 2 4 2 2" xfId="1078" xr:uid="{FB0339D2-0077-45B4-B58B-04D48F972796}"/>
    <cellStyle name="Normal 13 2 4 3" xfId="898" xr:uid="{5F50A212-0E09-43B1-B9D8-6700D8F5AE30}"/>
    <cellStyle name="Normal 13 2 5" xfId="588" xr:uid="{00000000-0005-0000-0000-0000E7000000}"/>
    <cellStyle name="Normal 13 2 5 2" xfId="990" xr:uid="{D2CB8CD1-2DA0-40FA-9279-5316F926DE43}"/>
    <cellStyle name="Normal 13 2 6" xfId="810" xr:uid="{8E6F2C8E-7440-45C6-A69F-983F897B3695}"/>
    <cellStyle name="Normal 13 3" xfId="400" xr:uid="{00000000-0005-0000-0000-0000EF000000}"/>
    <cellStyle name="Normal 13 3 2" xfId="447" xr:uid="{00000000-0005-0000-0000-0000F0000000}"/>
    <cellStyle name="Normal 13 3 2 2" xfId="535" xr:uid="{00000000-0005-0000-0000-0000F1000000}"/>
    <cellStyle name="Normal 13 3 2 2 2" xfId="724" xr:uid="{00000000-0005-0000-0000-0000F1000000}"/>
    <cellStyle name="Normal 13 3 2 2 2 2" xfId="1126" xr:uid="{8FDC4205-237A-446D-B6D4-DF1C7136591B}"/>
    <cellStyle name="Normal 13 3 2 2 3" xfId="946" xr:uid="{805ABD5A-7445-4D11-B338-2A159FF3058C}"/>
    <cellStyle name="Normal 13 3 2 3" xfId="636" xr:uid="{00000000-0005-0000-0000-0000F0000000}"/>
    <cellStyle name="Normal 13 3 2 3 2" xfId="1038" xr:uid="{6C317E7A-3CB9-48CC-B741-2BD617AB75F3}"/>
    <cellStyle name="Normal 13 3 2 4" xfId="858" xr:uid="{CF09418C-C277-4F13-8603-ABEB403DFEA8}"/>
    <cellStyle name="Normal 13 3 3" xfId="491" xr:uid="{00000000-0005-0000-0000-0000F2000000}"/>
    <cellStyle name="Normal 13 3 3 2" xfId="680" xr:uid="{00000000-0005-0000-0000-0000F2000000}"/>
    <cellStyle name="Normal 13 3 3 2 2" xfId="1082" xr:uid="{6D32ED77-EFAD-4DC8-8EBF-991B6AA0CBB8}"/>
    <cellStyle name="Normal 13 3 3 3" xfId="902" xr:uid="{8C394AC6-23E6-4B9A-AFCD-B54655FAB233}"/>
    <cellStyle name="Normal 13 3 4" xfId="592" xr:uid="{00000000-0005-0000-0000-0000EF000000}"/>
    <cellStyle name="Normal 13 3 4 2" xfId="994" xr:uid="{E6548983-CF86-419C-9EFE-75A746BDBFF2}"/>
    <cellStyle name="Normal 13 3 5" xfId="814" xr:uid="{2BDB8CC4-1970-4703-9E94-D85BD41AE66F}"/>
    <cellStyle name="Normal 13 4" xfId="439" xr:uid="{00000000-0005-0000-0000-0000F3000000}"/>
    <cellStyle name="Normal 13 4 2" xfId="527" xr:uid="{00000000-0005-0000-0000-0000F4000000}"/>
    <cellStyle name="Normal 13 4 2 2" xfId="716" xr:uid="{00000000-0005-0000-0000-0000F4000000}"/>
    <cellStyle name="Normal 13 4 2 2 2" xfId="1118" xr:uid="{CA625873-8512-4C7E-869A-2994512D3325}"/>
    <cellStyle name="Normal 13 4 2 3" xfId="938" xr:uid="{2A6FADFD-F5EF-4505-9C74-9F3E9D481590}"/>
    <cellStyle name="Normal 13 4 3" xfId="628" xr:uid="{00000000-0005-0000-0000-0000F3000000}"/>
    <cellStyle name="Normal 13 4 3 2" xfId="1030" xr:uid="{1CA5EB5E-A1C8-4EA3-B8A1-2187200B8923}"/>
    <cellStyle name="Normal 13 4 4" xfId="850" xr:uid="{29D2606C-BB7B-490D-9406-7C24C382331A}"/>
    <cellStyle name="Normal 13 5" xfId="483" xr:uid="{00000000-0005-0000-0000-0000F5000000}"/>
    <cellStyle name="Normal 13 5 2" xfId="672" xr:uid="{00000000-0005-0000-0000-0000F5000000}"/>
    <cellStyle name="Normal 13 5 2 2" xfId="1074" xr:uid="{71F6D45C-0832-42F4-A27B-F5F2B86B835F}"/>
    <cellStyle name="Normal 13 5 3" xfId="894" xr:uid="{BA861F01-BD92-46DD-A4C8-96EDBD2D54EC}"/>
    <cellStyle name="Normal 13 6" xfId="584" xr:uid="{00000000-0005-0000-0000-0000E6000000}"/>
    <cellStyle name="Normal 13 6 2" xfId="986" xr:uid="{4D3A5302-0A2E-4967-9393-A5DE3B0EFA33}"/>
    <cellStyle name="Normal 13 7" xfId="806" xr:uid="{4B331BC4-6E9E-46DB-8A0B-07E0D4229418}"/>
    <cellStyle name="Normal 14" xfId="543" xr:uid="{00000000-0005-0000-0000-0000FE000000}"/>
    <cellStyle name="Normal 15" xfId="561" xr:uid="{00000000-0005-0000-0000-00004E020000}"/>
    <cellStyle name="Normal 16" xfId="541" xr:uid="{00000000-0005-0000-0000-000061020000}"/>
    <cellStyle name="Normal 16 2" xfId="396" xr:uid="{00000000-0005-0000-0000-0000F6000000}"/>
    <cellStyle name="Normal 16 2 2" xfId="406" xr:uid="{00000000-0005-0000-0000-0000F7000000}"/>
    <cellStyle name="Normal 16 2 2 2" xfId="450" xr:uid="{00000000-0005-0000-0000-0000F8000000}"/>
    <cellStyle name="Normal 16 2 2 2 2" xfId="538" xr:uid="{00000000-0005-0000-0000-0000F9000000}"/>
    <cellStyle name="Normal 16 2 2 2 2 2" xfId="727" xr:uid="{00000000-0005-0000-0000-0000F9000000}"/>
    <cellStyle name="Normal 16 2 2 2 2 2 2" xfId="1129" xr:uid="{E5E6D5FB-A80D-49C2-9F7C-E130BF57A930}"/>
    <cellStyle name="Normal 16 2 2 2 2 3" xfId="949" xr:uid="{E8B7FEC7-9E62-4D1F-9D1D-BF3A3580BDD2}"/>
    <cellStyle name="Normal 16 2 2 2 3" xfId="639" xr:uid="{00000000-0005-0000-0000-0000F8000000}"/>
    <cellStyle name="Normal 16 2 2 2 3 2" xfId="1041" xr:uid="{BEF7D146-9E1B-4099-8E5B-E59B87422465}"/>
    <cellStyle name="Normal 16 2 2 2 4" xfId="861" xr:uid="{33A3C1A6-8B26-40DD-B351-6806EF266C75}"/>
    <cellStyle name="Normal 16 2 2 3" xfId="494" xr:uid="{00000000-0005-0000-0000-0000FA000000}"/>
    <cellStyle name="Normal 16 2 2 3 2" xfId="683" xr:uid="{00000000-0005-0000-0000-0000FA000000}"/>
    <cellStyle name="Normal 16 2 2 3 2 2" xfId="1085" xr:uid="{78A25A84-75A6-41D8-B844-B5BC13E73FD2}"/>
    <cellStyle name="Normal 16 2 2 3 3" xfId="905" xr:uid="{073AEEC6-D51D-440B-94AF-E9ED2B449E0D}"/>
    <cellStyle name="Normal 16 2 2 4" xfId="595" xr:uid="{00000000-0005-0000-0000-0000F7000000}"/>
    <cellStyle name="Normal 16 2 2 4 2" xfId="997" xr:uid="{369E4771-BA72-4838-9A79-084B881135DE}"/>
    <cellStyle name="Normal 16 2 2 5" xfId="817" xr:uid="{22F5ED20-F444-4E40-8CD6-6BD51F0407AA}"/>
    <cellStyle name="Normal 16 2 3" xfId="446" xr:uid="{00000000-0005-0000-0000-0000FB000000}"/>
    <cellStyle name="Normal 16 2 3 2" xfId="534" xr:uid="{00000000-0005-0000-0000-0000FC000000}"/>
    <cellStyle name="Normal 16 2 3 2 2" xfId="723" xr:uid="{00000000-0005-0000-0000-0000FC000000}"/>
    <cellStyle name="Normal 16 2 3 2 2 2" xfId="1125" xr:uid="{FA0360FE-5DBD-4A47-BB77-5A22CA5EFDA5}"/>
    <cellStyle name="Normal 16 2 3 2 3" xfId="945" xr:uid="{3FC6C908-7BA7-494F-9596-59BF660F6513}"/>
    <cellStyle name="Normal 16 2 3 3" xfId="635" xr:uid="{00000000-0005-0000-0000-0000FB000000}"/>
    <cellStyle name="Normal 16 2 3 3 2" xfId="1037" xr:uid="{DDF3F1A0-38FB-4528-9D32-07C890E0D3EE}"/>
    <cellStyle name="Normal 16 2 3 4" xfId="857" xr:uid="{7473024E-0364-4572-8C45-79F44E1CB91E}"/>
    <cellStyle name="Normal 16 2 4" xfId="490" xr:uid="{00000000-0005-0000-0000-0000FD000000}"/>
    <cellStyle name="Normal 16 2 4 2" xfId="679" xr:uid="{00000000-0005-0000-0000-0000FD000000}"/>
    <cellStyle name="Normal 16 2 4 2 2" xfId="1081" xr:uid="{C6EEDD07-A675-4BA6-BBAE-C6039CEFD878}"/>
    <cellStyle name="Normal 16 2 4 3" xfId="901" xr:uid="{B48DAB86-11AF-4742-9124-8C17602E6957}"/>
    <cellStyle name="Normal 16 2 5" xfId="591" xr:uid="{00000000-0005-0000-0000-0000F6000000}"/>
    <cellStyle name="Normal 16 2 5 2" xfId="993" xr:uid="{5ABCE620-F4DE-451B-8798-F10343295377}"/>
    <cellStyle name="Normal 16 2 6" xfId="813" xr:uid="{8CDB62F8-1A2B-4F94-9261-E3C7647B0C31}"/>
    <cellStyle name="Normal 16 3" xfId="951" xr:uid="{FA9251E4-4CB3-4277-A3B4-DAB568445D80}"/>
    <cellStyle name="Normal 17" xfId="752" xr:uid="{00000000-0005-0000-0000-000068020000}"/>
    <cellStyle name="Normal 18" xfId="738" xr:uid="{00000000-0005-0000-0000-00000A030000}"/>
    <cellStyle name="Normal 19" xfId="742" xr:uid="{00000000-0005-0000-0000-00000E030000}"/>
    <cellStyle name="Normal 2" xfId="184" xr:uid="{00000000-0005-0000-0000-0000FE000000}"/>
    <cellStyle name="Normal 2 2" xfId="185" xr:uid="{00000000-0005-0000-0000-0000FF000000}"/>
    <cellStyle name="Normal 20" xfId="745" xr:uid="{00000000-0005-0000-0000-000012030000}"/>
    <cellStyle name="Normal 21" xfId="759" xr:uid="{00000000-0005-0000-0000-000016030000}"/>
    <cellStyle name="Normal 22" xfId="763" xr:uid="{00000000-0005-0000-0000-00001A030000}"/>
    <cellStyle name="Normal 23" xfId="736" xr:uid="{00000000-0005-0000-0000-00001E030000}"/>
    <cellStyle name="Normal 24" xfId="746" xr:uid="{00000000-0005-0000-0000-000022030000}"/>
    <cellStyle name="Normal 25" xfId="764" xr:uid="{00000000-0005-0000-0000-000026030000}"/>
    <cellStyle name="Normal 26" xfId="565" xr:uid="{00000000-0005-0000-0000-000016030000}"/>
    <cellStyle name="Normal 26 2" xfId="967" xr:uid="{7C0EFAA3-0799-467B-AF6F-E9BF549DE0C5}"/>
    <cellStyle name="Normal 27" xfId="768" xr:uid="{00000000-0005-0000-0000-00002C030000}"/>
    <cellStyle name="Normal 3" xfId="186" xr:uid="{00000000-0005-0000-0000-000000010000}"/>
    <cellStyle name="Normal 3 2" xfId="187" xr:uid="{00000000-0005-0000-0000-000001010000}"/>
    <cellStyle name="Normal 3_Attach O, GG, Support -New Method 2-14-11" xfId="188" xr:uid="{00000000-0005-0000-0000-000002010000}"/>
    <cellStyle name="Normal 32" xfId="1131" xr:uid="{62558B9E-C867-4627-975B-05299150288F}"/>
    <cellStyle name="Normal 4" xfId="189" xr:uid="{00000000-0005-0000-0000-000003010000}"/>
    <cellStyle name="Normal 4 2" xfId="190" xr:uid="{00000000-0005-0000-0000-000004010000}"/>
    <cellStyle name="Normal 4_Attach O, GG, Support -New Method 2-14-11" xfId="191" xr:uid="{00000000-0005-0000-0000-000005010000}"/>
    <cellStyle name="Normal 5" xfId="192" xr:uid="{00000000-0005-0000-0000-000006010000}"/>
    <cellStyle name="Normal 5 2" xfId="387" xr:uid="{00000000-0005-0000-0000-000007010000}"/>
    <cellStyle name="Normal 6" xfId="193" xr:uid="{00000000-0005-0000-0000-000008010000}"/>
    <cellStyle name="Normal 6 2" xfId="194" xr:uid="{00000000-0005-0000-0000-000009010000}"/>
    <cellStyle name="Normal 6 2 2" xfId="195" xr:uid="{00000000-0005-0000-0000-00000A010000}"/>
    <cellStyle name="Normal 6 2 2 2" xfId="196" xr:uid="{00000000-0005-0000-0000-00000B010000}"/>
    <cellStyle name="Normal 6 2 2 2 2" xfId="371" xr:uid="{00000000-0005-0000-0000-00000C010000}"/>
    <cellStyle name="Normal 6 2 2 2 2 2" xfId="425" xr:uid="{00000000-0005-0000-0000-00000D010000}"/>
    <cellStyle name="Normal 6 2 2 2 2 2 2" xfId="513" xr:uid="{00000000-0005-0000-0000-00000E010000}"/>
    <cellStyle name="Normal 6 2 2 2 2 2 2 2" xfId="702" xr:uid="{00000000-0005-0000-0000-00000E010000}"/>
    <cellStyle name="Normal 6 2 2 2 2 2 2 2 2" xfId="1104" xr:uid="{2F3321F1-91C0-4821-A405-4D3D60E8582B}"/>
    <cellStyle name="Normal 6 2 2 2 2 2 2 3" xfId="924" xr:uid="{6D65A699-9B61-4DC6-80BE-1CD55D4C0232}"/>
    <cellStyle name="Normal 6 2 2 2 2 2 3" xfId="614" xr:uid="{00000000-0005-0000-0000-00000D010000}"/>
    <cellStyle name="Normal 6 2 2 2 2 2 3 2" xfId="1016" xr:uid="{462943FD-8AAC-42E7-8A34-29CF34122B46}"/>
    <cellStyle name="Normal 6 2 2 2 2 2 4" xfId="836" xr:uid="{7AFE9683-F26F-4463-946D-DD69AD743D64}"/>
    <cellStyle name="Normal 6 2 2 2 2 3" xfId="469" xr:uid="{00000000-0005-0000-0000-00000F010000}"/>
    <cellStyle name="Normal 6 2 2 2 2 3 2" xfId="658" xr:uid="{00000000-0005-0000-0000-00000F010000}"/>
    <cellStyle name="Normal 6 2 2 2 2 3 2 2" xfId="1060" xr:uid="{F8106501-76E4-49E7-A2DC-A62235AE881F}"/>
    <cellStyle name="Normal 6 2 2 2 2 3 3" xfId="880" xr:uid="{50FD5772-6637-479B-BD4D-52CECBA0B856}"/>
    <cellStyle name="Normal 6 2 2 2 2 4" xfId="570" xr:uid="{00000000-0005-0000-0000-00000C010000}"/>
    <cellStyle name="Normal 6 2 2 2 2 4 2" xfId="972" xr:uid="{4CE899F3-2FD9-4810-9277-F7C00B1258A4}"/>
    <cellStyle name="Normal 6 2 2 2 2 5" xfId="792" xr:uid="{CDA6F08E-F0A2-47CA-B2CF-1719E5A0E2F3}"/>
    <cellStyle name="Normal 6 2 2 2 3" xfId="412" xr:uid="{00000000-0005-0000-0000-000010010000}"/>
    <cellStyle name="Normal 6 2 2 2 3 2" xfId="500" xr:uid="{00000000-0005-0000-0000-000011010000}"/>
    <cellStyle name="Normal 6 2 2 2 3 2 2" xfId="689" xr:uid="{00000000-0005-0000-0000-000011010000}"/>
    <cellStyle name="Normal 6 2 2 2 3 2 2 2" xfId="1091" xr:uid="{63B1CF56-4FF2-4986-AF58-135F0A546906}"/>
    <cellStyle name="Normal 6 2 2 2 3 2 3" xfId="911" xr:uid="{5C5348C1-45D6-4090-956B-D299F424CD29}"/>
    <cellStyle name="Normal 6 2 2 2 3 3" xfId="601" xr:uid="{00000000-0005-0000-0000-000010010000}"/>
    <cellStyle name="Normal 6 2 2 2 3 3 2" xfId="1003" xr:uid="{6F49C61F-B778-4B1B-AD3E-93B1258BB12C}"/>
    <cellStyle name="Normal 6 2 2 2 3 4" xfId="823" xr:uid="{725D4C66-5C94-4C4D-BE38-02A553114F89}"/>
    <cellStyle name="Normal 6 2 2 2 4" xfId="456" xr:uid="{00000000-0005-0000-0000-000012010000}"/>
    <cellStyle name="Normal 6 2 2 2 4 2" xfId="645" xr:uid="{00000000-0005-0000-0000-000012010000}"/>
    <cellStyle name="Normal 6 2 2 2 4 2 2" xfId="1047" xr:uid="{0A10D0A4-01D4-4CE9-AB28-78B15D3AA66B}"/>
    <cellStyle name="Normal 6 2 2 2 4 3" xfId="867" xr:uid="{6D908EFA-CFEB-43EC-9AC9-6BCE881924A9}"/>
    <cellStyle name="Normal 6 2 2 2 5" xfId="552" xr:uid="{00000000-0005-0000-0000-00000B010000}"/>
    <cellStyle name="Normal 6 2 2 2 5 2" xfId="957" xr:uid="{52BEBDDE-B8E0-49E9-98D5-A2AD19435A41}"/>
    <cellStyle name="Normal 6 2 2 2 6" xfId="779" xr:uid="{C6EDA262-5110-4428-A46B-DF3CF3250F87}"/>
    <cellStyle name="Normal 6 2 2 3" xfId="370" xr:uid="{00000000-0005-0000-0000-000013010000}"/>
    <cellStyle name="Normal 6 2 2 3 2" xfId="424" xr:uid="{00000000-0005-0000-0000-000014010000}"/>
    <cellStyle name="Normal 6 2 2 3 2 2" xfId="512" xr:uid="{00000000-0005-0000-0000-000015010000}"/>
    <cellStyle name="Normal 6 2 2 3 2 2 2" xfId="701" xr:uid="{00000000-0005-0000-0000-000015010000}"/>
    <cellStyle name="Normal 6 2 2 3 2 2 2 2" xfId="1103" xr:uid="{61B97B7F-0912-4A72-9EF0-785FCC17191D}"/>
    <cellStyle name="Normal 6 2 2 3 2 2 3" xfId="923" xr:uid="{A8224659-E19A-4092-BAE3-E6F93915FF87}"/>
    <cellStyle name="Normal 6 2 2 3 2 3" xfId="613" xr:uid="{00000000-0005-0000-0000-000014010000}"/>
    <cellStyle name="Normal 6 2 2 3 2 3 2" xfId="1015" xr:uid="{FEC310ED-EE58-4B00-A355-C85EB2DE67CA}"/>
    <cellStyle name="Normal 6 2 2 3 2 4" xfId="835" xr:uid="{42177B5F-6A69-42EA-B1E5-5BB7EF892EC2}"/>
    <cellStyle name="Normal 6 2 2 3 3" xfId="468" xr:uid="{00000000-0005-0000-0000-000016010000}"/>
    <cellStyle name="Normal 6 2 2 3 3 2" xfId="657" xr:uid="{00000000-0005-0000-0000-000016010000}"/>
    <cellStyle name="Normal 6 2 2 3 3 2 2" xfId="1059" xr:uid="{75AD9231-A30C-4770-908D-BE0DC5C9881E}"/>
    <cellStyle name="Normal 6 2 2 3 3 3" xfId="879" xr:uid="{50199ECE-CAD7-43F3-BB8E-B7C2EDC4A19A}"/>
    <cellStyle name="Normal 6 2 2 3 4" xfId="569" xr:uid="{00000000-0005-0000-0000-000013010000}"/>
    <cellStyle name="Normal 6 2 2 3 4 2" xfId="971" xr:uid="{2B0E0AA9-B851-40E6-AB34-A6D0E9207CAC}"/>
    <cellStyle name="Normal 6 2 2 3 5" xfId="791" xr:uid="{0D4A261B-1AA1-495B-BDFA-0A189B2CAB06}"/>
    <cellStyle name="Normal 6 2 2 4" xfId="411" xr:uid="{00000000-0005-0000-0000-000017010000}"/>
    <cellStyle name="Normal 6 2 2 4 2" xfId="499" xr:uid="{00000000-0005-0000-0000-000018010000}"/>
    <cellStyle name="Normal 6 2 2 4 2 2" xfId="688" xr:uid="{00000000-0005-0000-0000-000018010000}"/>
    <cellStyle name="Normal 6 2 2 4 2 2 2" xfId="1090" xr:uid="{47CEADBD-3387-4B9E-B9F8-88E257587FA0}"/>
    <cellStyle name="Normal 6 2 2 4 2 3" xfId="910" xr:uid="{63B9A20C-5CA6-498D-A203-D86C4A15109A}"/>
    <cellStyle name="Normal 6 2 2 4 3" xfId="600" xr:uid="{00000000-0005-0000-0000-000017010000}"/>
    <cellStyle name="Normal 6 2 2 4 3 2" xfId="1002" xr:uid="{24DF8D96-4A0E-47EF-855A-DE0F41139B1A}"/>
    <cellStyle name="Normal 6 2 2 4 4" xfId="822" xr:uid="{DF868700-3590-43D1-AEAC-114237B29430}"/>
    <cellStyle name="Normal 6 2 2 5" xfId="455" xr:uid="{00000000-0005-0000-0000-000019010000}"/>
    <cellStyle name="Normal 6 2 2 5 2" xfId="644" xr:uid="{00000000-0005-0000-0000-000019010000}"/>
    <cellStyle name="Normal 6 2 2 5 2 2" xfId="1046" xr:uid="{21604D17-98A7-451F-BEB4-05890C88CCAA}"/>
    <cellStyle name="Normal 6 2 2 5 3" xfId="866" xr:uid="{C6E51A50-EF4F-4B9B-A239-6C553E258788}"/>
    <cellStyle name="Normal 6 2 2 6" xfId="551" xr:uid="{00000000-0005-0000-0000-00000A010000}"/>
    <cellStyle name="Normal 6 2 2 6 2" xfId="956" xr:uid="{E97147A5-3A9A-4928-BA90-6A2E74A42398}"/>
    <cellStyle name="Normal 6 2 2 7" xfId="778" xr:uid="{FD84F258-AF39-43C5-8651-E53DF0C4717C}"/>
    <cellStyle name="Normal 6 2 3" xfId="197" xr:uid="{00000000-0005-0000-0000-00001A010000}"/>
    <cellStyle name="Normal 6 2 3 2" xfId="372" xr:uid="{00000000-0005-0000-0000-00001B010000}"/>
    <cellStyle name="Normal 6 2 3 2 2" xfId="426" xr:uid="{00000000-0005-0000-0000-00001C010000}"/>
    <cellStyle name="Normal 6 2 3 2 2 2" xfId="514" xr:uid="{00000000-0005-0000-0000-00001D010000}"/>
    <cellStyle name="Normal 6 2 3 2 2 2 2" xfId="703" xr:uid="{00000000-0005-0000-0000-00001D010000}"/>
    <cellStyle name="Normal 6 2 3 2 2 2 2 2" xfId="1105" xr:uid="{8A5748F9-64D9-4F3F-B705-7DCCB3424E1E}"/>
    <cellStyle name="Normal 6 2 3 2 2 2 3" xfId="925" xr:uid="{8BB43F4F-60B6-4B09-B0AC-2EA4CC2439F3}"/>
    <cellStyle name="Normal 6 2 3 2 2 3" xfId="615" xr:uid="{00000000-0005-0000-0000-00001C010000}"/>
    <cellStyle name="Normal 6 2 3 2 2 3 2" xfId="1017" xr:uid="{67F3D456-E78E-4C1F-8838-827725FFDC56}"/>
    <cellStyle name="Normal 6 2 3 2 2 4" xfId="837" xr:uid="{81D73111-8B0F-4AA9-9E57-D79FA7BD8DDC}"/>
    <cellStyle name="Normal 6 2 3 2 3" xfId="470" xr:uid="{00000000-0005-0000-0000-00001E010000}"/>
    <cellStyle name="Normal 6 2 3 2 3 2" xfId="659" xr:uid="{00000000-0005-0000-0000-00001E010000}"/>
    <cellStyle name="Normal 6 2 3 2 3 2 2" xfId="1061" xr:uid="{61D8D5AC-F52B-41FE-9E89-3D905ACD1759}"/>
    <cellStyle name="Normal 6 2 3 2 3 3" xfId="881" xr:uid="{66BD1625-FF3B-4C48-B91A-20E81433A91E}"/>
    <cellStyle name="Normal 6 2 3 2 4" xfId="571" xr:uid="{00000000-0005-0000-0000-00001B010000}"/>
    <cellStyle name="Normal 6 2 3 2 4 2" xfId="973" xr:uid="{E51CD957-04A0-4683-AEAA-D729149B2439}"/>
    <cellStyle name="Normal 6 2 3 2 5" xfId="793" xr:uid="{C56AD8B4-2F02-4DA5-BBFC-8BFFC9D9D56B}"/>
    <cellStyle name="Normal 6 2 3 3" xfId="413" xr:uid="{00000000-0005-0000-0000-00001F010000}"/>
    <cellStyle name="Normal 6 2 3 3 2" xfId="501" xr:uid="{00000000-0005-0000-0000-000020010000}"/>
    <cellStyle name="Normal 6 2 3 3 2 2" xfId="690" xr:uid="{00000000-0005-0000-0000-000020010000}"/>
    <cellStyle name="Normal 6 2 3 3 2 2 2" xfId="1092" xr:uid="{C74F614B-8CB8-44DF-BDF8-0A79BEB0CA0F}"/>
    <cellStyle name="Normal 6 2 3 3 2 3" xfId="912" xr:uid="{1AD6FC57-BF0D-4835-B7F8-E95A813FD3C0}"/>
    <cellStyle name="Normal 6 2 3 3 3" xfId="602" xr:uid="{00000000-0005-0000-0000-00001F010000}"/>
    <cellStyle name="Normal 6 2 3 3 3 2" xfId="1004" xr:uid="{2DF3C0B0-61C3-42A0-8343-D8731932E8BE}"/>
    <cellStyle name="Normal 6 2 3 3 4" xfId="824" xr:uid="{B1985C4A-82C9-4745-B1AC-195CFBC944D2}"/>
    <cellStyle name="Normal 6 2 3 4" xfId="457" xr:uid="{00000000-0005-0000-0000-000021010000}"/>
    <cellStyle name="Normal 6 2 3 4 2" xfId="646" xr:uid="{00000000-0005-0000-0000-000021010000}"/>
    <cellStyle name="Normal 6 2 3 4 2 2" xfId="1048" xr:uid="{7B0EED33-D2F8-4FC0-9F4C-27FDA9230AAC}"/>
    <cellStyle name="Normal 6 2 3 4 3" xfId="868" xr:uid="{46EA3DD9-F0FB-4C0B-AB70-17297FEA5D9D}"/>
    <cellStyle name="Normal 6 2 3 5" xfId="553" xr:uid="{00000000-0005-0000-0000-00001A010000}"/>
    <cellStyle name="Normal 6 2 3 5 2" xfId="958" xr:uid="{8E38FE22-4022-4305-BDC4-A6682B4A9806}"/>
    <cellStyle name="Normal 6 2 3 6" xfId="780" xr:uid="{6697DC6A-6756-4590-B7C5-889D42D05520}"/>
    <cellStyle name="Normal 6 2 4" xfId="369" xr:uid="{00000000-0005-0000-0000-000022010000}"/>
    <cellStyle name="Normal 6 2 4 2" xfId="423" xr:uid="{00000000-0005-0000-0000-000023010000}"/>
    <cellStyle name="Normal 6 2 4 2 2" xfId="511" xr:uid="{00000000-0005-0000-0000-000024010000}"/>
    <cellStyle name="Normal 6 2 4 2 2 2" xfId="700" xr:uid="{00000000-0005-0000-0000-000024010000}"/>
    <cellStyle name="Normal 6 2 4 2 2 2 2" xfId="1102" xr:uid="{E7C181F6-C787-4382-9CDA-B7C7D655C1D7}"/>
    <cellStyle name="Normal 6 2 4 2 2 3" xfId="922" xr:uid="{4A68F251-4FE8-4BC8-A311-7B3275BB6971}"/>
    <cellStyle name="Normal 6 2 4 2 3" xfId="612" xr:uid="{00000000-0005-0000-0000-000023010000}"/>
    <cellStyle name="Normal 6 2 4 2 3 2" xfId="1014" xr:uid="{9F13940F-B477-48F1-A1B9-6B50401FAF4E}"/>
    <cellStyle name="Normal 6 2 4 2 4" xfId="834" xr:uid="{45543F38-A61A-4BE7-91EB-76292258791B}"/>
    <cellStyle name="Normal 6 2 4 3" xfId="467" xr:uid="{00000000-0005-0000-0000-000025010000}"/>
    <cellStyle name="Normal 6 2 4 3 2" xfId="656" xr:uid="{00000000-0005-0000-0000-000025010000}"/>
    <cellStyle name="Normal 6 2 4 3 2 2" xfId="1058" xr:uid="{4C0CD06E-9331-47CC-9453-7FF17A87C2E5}"/>
    <cellStyle name="Normal 6 2 4 3 3" xfId="878" xr:uid="{8DDA0C78-C5B3-4752-B21F-6A916D6CB7ED}"/>
    <cellStyle name="Normal 6 2 4 4" xfId="568" xr:uid="{00000000-0005-0000-0000-000022010000}"/>
    <cellStyle name="Normal 6 2 4 4 2" xfId="970" xr:uid="{5E05593D-50CB-44D6-B1EB-E0FC51DDCDB7}"/>
    <cellStyle name="Normal 6 2 4 5" xfId="790" xr:uid="{436652D7-97C9-41D0-8005-AE5389036C9F}"/>
    <cellStyle name="Normal 6 2 5" xfId="386" xr:uid="{00000000-0005-0000-0000-000026010000}"/>
    <cellStyle name="Normal 6 2 6" xfId="410" xr:uid="{00000000-0005-0000-0000-000027010000}"/>
    <cellStyle name="Normal 6 2 6 2" xfId="498" xr:uid="{00000000-0005-0000-0000-000028010000}"/>
    <cellStyle name="Normal 6 2 6 2 2" xfId="687" xr:uid="{00000000-0005-0000-0000-000028010000}"/>
    <cellStyle name="Normal 6 2 6 2 2 2" xfId="1089" xr:uid="{91418BA4-B867-45D3-99D3-118B6B75DAE8}"/>
    <cellStyle name="Normal 6 2 6 2 3" xfId="909" xr:uid="{6C5A17AF-433F-4CC4-86F6-3EE6BE2DCD30}"/>
    <cellStyle name="Normal 6 2 6 3" xfId="599" xr:uid="{00000000-0005-0000-0000-000027010000}"/>
    <cellStyle name="Normal 6 2 6 3 2" xfId="1001" xr:uid="{BF5EAC73-8C72-4833-B93C-04BB809462BF}"/>
    <cellStyle name="Normal 6 2 6 4" xfId="821" xr:uid="{45A3A390-8544-4AED-910F-D93DBD0FCF5B}"/>
    <cellStyle name="Normal 6 2 7" xfId="454" xr:uid="{00000000-0005-0000-0000-000029010000}"/>
    <cellStyle name="Normal 6 2 7 2" xfId="643" xr:uid="{00000000-0005-0000-0000-000029010000}"/>
    <cellStyle name="Normal 6 2 7 2 2" xfId="1045" xr:uid="{65E88544-7242-432B-BAFC-09A6C5DF1E91}"/>
    <cellStyle name="Normal 6 2 7 3" xfId="865" xr:uid="{0BB24B1E-9D20-4F56-BBCB-210DC30D4FD2}"/>
    <cellStyle name="Normal 6 2 8" xfId="550" xr:uid="{00000000-0005-0000-0000-000009010000}"/>
    <cellStyle name="Normal 6 2 8 2" xfId="955" xr:uid="{6DDBC065-743B-4754-97C4-A6A0C68C2529}"/>
    <cellStyle name="Normal 6 2 9" xfId="777" xr:uid="{35322308-F02C-4496-9A7C-284C4A84BBA6}"/>
    <cellStyle name="Normal 6 3" xfId="198" xr:uid="{00000000-0005-0000-0000-00002A010000}"/>
    <cellStyle name="Normal 6 3 2" xfId="199" xr:uid="{00000000-0005-0000-0000-00002B010000}"/>
    <cellStyle name="Normal 6 3 2 2" xfId="374" xr:uid="{00000000-0005-0000-0000-00002C010000}"/>
    <cellStyle name="Normal 6 3 2 2 2" xfId="428" xr:uid="{00000000-0005-0000-0000-00002D010000}"/>
    <cellStyle name="Normal 6 3 2 2 2 2" xfId="516" xr:uid="{00000000-0005-0000-0000-00002E010000}"/>
    <cellStyle name="Normal 6 3 2 2 2 2 2" xfId="705" xr:uid="{00000000-0005-0000-0000-00002E010000}"/>
    <cellStyle name="Normal 6 3 2 2 2 2 2 2" xfId="1107" xr:uid="{062A7B0E-33AC-49AF-9BD9-B137D152F8B2}"/>
    <cellStyle name="Normal 6 3 2 2 2 2 3" xfId="927" xr:uid="{74E5945E-6F0F-48EF-9A5D-CAA8CFDD4635}"/>
    <cellStyle name="Normal 6 3 2 2 2 3" xfId="617" xr:uid="{00000000-0005-0000-0000-00002D010000}"/>
    <cellStyle name="Normal 6 3 2 2 2 3 2" xfId="1019" xr:uid="{D99AB4B2-2504-4724-A06E-FF739B846914}"/>
    <cellStyle name="Normal 6 3 2 2 2 4" xfId="839" xr:uid="{137F7CBC-FDE7-4228-8CE3-8929DA8757B1}"/>
    <cellStyle name="Normal 6 3 2 2 3" xfId="472" xr:uid="{00000000-0005-0000-0000-00002F010000}"/>
    <cellStyle name="Normal 6 3 2 2 3 2" xfId="661" xr:uid="{00000000-0005-0000-0000-00002F010000}"/>
    <cellStyle name="Normal 6 3 2 2 3 2 2" xfId="1063" xr:uid="{BF18B53A-45C9-497E-A85D-DB691F09C2E6}"/>
    <cellStyle name="Normal 6 3 2 2 3 3" xfId="883" xr:uid="{E96E66A3-3F48-44B7-A9AA-27E777CA615F}"/>
    <cellStyle name="Normal 6 3 2 2 4" xfId="573" xr:uid="{00000000-0005-0000-0000-00002C010000}"/>
    <cellStyle name="Normal 6 3 2 2 4 2" xfId="975" xr:uid="{46E304F2-4C12-4127-A302-B6E1D2F13C29}"/>
    <cellStyle name="Normal 6 3 2 2 5" xfId="795" xr:uid="{F176E537-D2A4-4B3B-B509-306AB0EE169D}"/>
    <cellStyle name="Normal 6 3 2 3" xfId="415" xr:uid="{00000000-0005-0000-0000-000030010000}"/>
    <cellStyle name="Normal 6 3 2 3 2" xfId="503" xr:uid="{00000000-0005-0000-0000-000031010000}"/>
    <cellStyle name="Normal 6 3 2 3 2 2" xfId="692" xr:uid="{00000000-0005-0000-0000-000031010000}"/>
    <cellStyle name="Normal 6 3 2 3 2 2 2" xfId="1094" xr:uid="{066E04B6-2A06-49BC-8899-B74BCFD1E330}"/>
    <cellStyle name="Normal 6 3 2 3 2 3" xfId="914" xr:uid="{F16F7C3D-1549-4BFC-8F43-26683168A79C}"/>
    <cellStyle name="Normal 6 3 2 3 3" xfId="604" xr:uid="{00000000-0005-0000-0000-000030010000}"/>
    <cellStyle name="Normal 6 3 2 3 3 2" xfId="1006" xr:uid="{263D5E3E-F1CD-4652-A8EF-026A8E2D25E6}"/>
    <cellStyle name="Normal 6 3 2 3 4" xfId="826" xr:uid="{5BC896D1-2882-46AA-93F2-D7AB3E017409}"/>
    <cellStyle name="Normal 6 3 2 4" xfId="459" xr:uid="{00000000-0005-0000-0000-000032010000}"/>
    <cellStyle name="Normal 6 3 2 4 2" xfId="648" xr:uid="{00000000-0005-0000-0000-000032010000}"/>
    <cellStyle name="Normal 6 3 2 4 2 2" xfId="1050" xr:uid="{1265DB6A-4AC2-4B59-B5FB-18AA612D3899}"/>
    <cellStyle name="Normal 6 3 2 4 3" xfId="870" xr:uid="{C06D957D-C803-4D31-9F75-D5532EF0E5E4}"/>
    <cellStyle name="Normal 6 3 2 5" xfId="555" xr:uid="{00000000-0005-0000-0000-00002B010000}"/>
    <cellStyle name="Normal 6 3 2 5 2" xfId="960" xr:uid="{99BEF263-0A5D-4730-9D55-18B198F7DD49}"/>
    <cellStyle name="Normal 6 3 2 6" xfId="782" xr:uid="{A3789085-55FE-4A20-992C-D1287BC9F79B}"/>
    <cellStyle name="Normal 6 3 3" xfId="373" xr:uid="{00000000-0005-0000-0000-000033010000}"/>
    <cellStyle name="Normal 6 3 3 2" xfId="427" xr:uid="{00000000-0005-0000-0000-000034010000}"/>
    <cellStyle name="Normal 6 3 3 2 2" xfId="515" xr:uid="{00000000-0005-0000-0000-000035010000}"/>
    <cellStyle name="Normal 6 3 3 2 2 2" xfId="704" xr:uid="{00000000-0005-0000-0000-000035010000}"/>
    <cellStyle name="Normal 6 3 3 2 2 2 2" xfId="1106" xr:uid="{CE50B600-F822-4EF9-A68B-F3F1BEEFA77B}"/>
    <cellStyle name="Normal 6 3 3 2 2 3" xfId="926" xr:uid="{133C490F-C815-48AC-AC61-C814539BF50B}"/>
    <cellStyle name="Normal 6 3 3 2 3" xfId="616" xr:uid="{00000000-0005-0000-0000-000034010000}"/>
    <cellStyle name="Normal 6 3 3 2 3 2" xfId="1018" xr:uid="{98A28278-6D1E-4E20-BB3B-C993B9860DFD}"/>
    <cellStyle name="Normal 6 3 3 2 4" xfId="838" xr:uid="{07ADF5CB-AEC2-484B-9506-F0F69677B016}"/>
    <cellStyle name="Normal 6 3 3 3" xfId="471" xr:uid="{00000000-0005-0000-0000-000036010000}"/>
    <cellStyle name="Normal 6 3 3 3 2" xfId="660" xr:uid="{00000000-0005-0000-0000-000036010000}"/>
    <cellStyle name="Normal 6 3 3 3 2 2" xfId="1062" xr:uid="{DB60273B-F8BB-45CF-A11B-E2016B9D4FE5}"/>
    <cellStyle name="Normal 6 3 3 3 3" xfId="882" xr:uid="{C4F3A16D-1F99-40E8-8C17-2A65A9F85C1E}"/>
    <cellStyle name="Normal 6 3 3 4" xfId="572" xr:uid="{00000000-0005-0000-0000-000033010000}"/>
    <cellStyle name="Normal 6 3 3 4 2" xfId="974" xr:uid="{CD7E4872-9D39-4400-9AE0-D10D9568CAD7}"/>
    <cellStyle name="Normal 6 3 3 5" xfId="794" xr:uid="{EFB7F369-C77A-4031-990D-896ACC7EEFD4}"/>
    <cellStyle name="Normal 6 3 4" xfId="414" xr:uid="{00000000-0005-0000-0000-000037010000}"/>
    <cellStyle name="Normal 6 3 4 2" xfId="502" xr:uid="{00000000-0005-0000-0000-000038010000}"/>
    <cellStyle name="Normal 6 3 4 2 2" xfId="691" xr:uid="{00000000-0005-0000-0000-000038010000}"/>
    <cellStyle name="Normal 6 3 4 2 2 2" xfId="1093" xr:uid="{31749F12-D111-4EF0-BD42-5159BA36590F}"/>
    <cellStyle name="Normal 6 3 4 2 3" xfId="913" xr:uid="{F7819D4F-1429-4496-A08A-BA3B39302A74}"/>
    <cellStyle name="Normal 6 3 4 3" xfId="603" xr:uid="{00000000-0005-0000-0000-000037010000}"/>
    <cellStyle name="Normal 6 3 4 3 2" xfId="1005" xr:uid="{FC9D22F7-0145-4143-9C08-1697BB814FEE}"/>
    <cellStyle name="Normal 6 3 4 4" xfId="825" xr:uid="{E8E35548-2A9A-48A4-BBFE-EA74D1E21481}"/>
    <cellStyle name="Normal 6 3 5" xfId="458" xr:uid="{00000000-0005-0000-0000-000039010000}"/>
    <cellStyle name="Normal 6 3 5 2" xfId="647" xr:uid="{00000000-0005-0000-0000-000039010000}"/>
    <cellStyle name="Normal 6 3 5 2 2" xfId="1049" xr:uid="{88B416C8-DB73-4E8B-87DC-9E1641A147F8}"/>
    <cellStyle name="Normal 6 3 5 3" xfId="869" xr:uid="{9AB5FD5D-1CC9-4B63-A1F6-B8873A1F795E}"/>
    <cellStyle name="Normal 6 3 6" xfId="554" xr:uid="{00000000-0005-0000-0000-00002A010000}"/>
    <cellStyle name="Normal 6 3 6 2" xfId="959" xr:uid="{AB01F8C6-ACBB-440F-9B39-594CCDFCA96B}"/>
    <cellStyle name="Normal 6 3 7" xfId="781" xr:uid="{002F3FA5-5F66-4909-9C14-39F512CF7B28}"/>
    <cellStyle name="Normal 6 4" xfId="200" xr:uid="{00000000-0005-0000-0000-00003A010000}"/>
    <cellStyle name="Normal 6 4 2" xfId="375" xr:uid="{00000000-0005-0000-0000-00003B010000}"/>
    <cellStyle name="Normal 6 4 2 2" xfId="429" xr:uid="{00000000-0005-0000-0000-00003C010000}"/>
    <cellStyle name="Normal 6 4 2 2 2" xfId="517" xr:uid="{00000000-0005-0000-0000-00003D010000}"/>
    <cellStyle name="Normal 6 4 2 2 2 2" xfId="706" xr:uid="{00000000-0005-0000-0000-00003D010000}"/>
    <cellStyle name="Normal 6 4 2 2 2 2 2" xfId="1108" xr:uid="{37BC7DFE-26B1-4D16-8504-E13685F7F707}"/>
    <cellStyle name="Normal 6 4 2 2 2 3" xfId="928" xr:uid="{CFD315A9-9D27-484A-8EF0-F2AD3F88D59A}"/>
    <cellStyle name="Normal 6 4 2 2 3" xfId="618" xr:uid="{00000000-0005-0000-0000-00003C010000}"/>
    <cellStyle name="Normal 6 4 2 2 3 2" xfId="1020" xr:uid="{89172268-3E63-4295-9A3B-41D5F3CC3E3E}"/>
    <cellStyle name="Normal 6 4 2 2 4" xfId="840" xr:uid="{EF0F832A-35C0-4740-AA42-AD836C86FFD9}"/>
    <cellStyle name="Normal 6 4 2 3" xfId="473" xr:uid="{00000000-0005-0000-0000-00003E010000}"/>
    <cellStyle name="Normal 6 4 2 3 2" xfId="662" xr:uid="{00000000-0005-0000-0000-00003E010000}"/>
    <cellStyle name="Normal 6 4 2 3 2 2" xfId="1064" xr:uid="{9EB42955-7FE4-449A-A51D-7543B3496A63}"/>
    <cellStyle name="Normal 6 4 2 3 3" xfId="884" xr:uid="{BC6289FF-07E4-419A-9925-9719299D3219}"/>
    <cellStyle name="Normal 6 4 2 4" xfId="574" xr:uid="{00000000-0005-0000-0000-00003B010000}"/>
    <cellStyle name="Normal 6 4 2 4 2" xfId="976" xr:uid="{FCC77CA8-07F8-4E36-BD07-7329511DABD8}"/>
    <cellStyle name="Normal 6 4 2 5" xfId="796" xr:uid="{2CC1FBDD-CFAF-454B-83E5-074B396F735F}"/>
    <cellStyle name="Normal 6 4 3" xfId="416" xr:uid="{00000000-0005-0000-0000-00003F010000}"/>
    <cellStyle name="Normal 6 4 3 2" xfId="504" xr:uid="{00000000-0005-0000-0000-000040010000}"/>
    <cellStyle name="Normal 6 4 3 2 2" xfId="693" xr:uid="{00000000-0005-0000-0000-000040010000}"/>
    <cellStyle name="Normal 6 4 3 2 2 2" xfId="1095" xr:uid="{EB5D2D32-0492-4250-B5F4-7FB3B56F03BB}"/>
    <cellStyle name="Normal 6 4 3 2 3" xfId="915" xr:uid="{67A7E2A5-0F17-4B55-A5AC-9D26B3671B6D}"/>
    <cellStyle name="Normal 6 4 3 3" xfId="605" xr:uid="{00000000-0005-0000-0000-00003F010000}"/>
    <cellStyle name="Normal 6 4 3 3 2" xfId="1007" xr:uid="{E4422271-8A3C-40F1-B853-B91DAE2C410D}"/>
    <cellStyle name="Normal 6 4 3 4" xfId="827" xr:uid="{902DF74C-B66F-4C3E-A3B9-55B574C37DEC}"/>
    <cellStyle name="Normal 6 4 4" xfId="460" xr:uid="{00000000-0005-0000-0000-000041010000}"/>
    <cellStyle name="Normal 6 4 4 2" xfId="649" xr:uid="{00000000-0005-0000-0000-000041010000}"/>
    <cellStyle name="Normal 6 4 4 2 2" xfId="1051" xr:uid="{370A595B-1021-4203-899B-FC0234AC3780}"/>
    <cellStyle name="Normal 6 4 4 3" xfId="871" xr:uid="{479DA33E-B29F-460D-9CE8-E5B0B5B829E1}"/>
    <cellStyle name="Normal 6 4 5" xfId="556" xr:uid="{00000000-0005-0000-0000-00003A010000}"/>
    <cellStyle name="Normal 6 4 5 2" xfId="961" xr:uid="{B9B63E38-6A81-460C-82DA-C47B60378EAC}"/>
    <cellStyle name="Normal 6 4 6" xfId="783" xr:uid="{3E578822-849E-4B74-AC59-8C57C0A0BF80}"/>
    <cellStyle name="Normal 6 5" xfId="368" xr:uid="{00000000-0005-0000-0000-000042010000}"/>
    <cellStyle name="Normal 6 5 2" xfId="422" xr:uid="{00000000-0005-0000-0000-000043010000}"/>
    <cellStyle name="Normal 6 5 2 2" xfId="510" xr:uid="{00000000-0005-0000-0000-000044010000}"/>
    <cellStyle name="Normal 6 5 2 2 2" xfId="699" xr:uid="{00000000-0005-0000-0000-000044010000}"/>
    <cellStyle name="Normal 6 5 2 2 2 2" xfId="1101" xr:uid="{2CA4676C-5E0B-4CAD-A5EE-077F0F9DBBAD}"/>
    <cellStyle name="Normal 6 5 2 2 3" xfId="921" xr:uid="{0EBF065B-AD34-4F43-9293-003C0DFF1DEC}"/>
    <cellStyle name="Normal 6 5 2 3" xfId="611" xr:uid="{00000000-0005-0000-0000-000043010000}"/>
    <cellStyle name="Normal 6 5 2 3 2" xfId="1013" xr:uid="{CFF86FFF-BF17-46DC-8EE2-B9F2815E6AE2}"/>
    <cellStyle name="Normal 6 5 2 4" xfId="833" xr:uid="{A404CFA9-9A69-4429-962B-341335A06A3B}"/>
    <cellStyle name="Normal 6 5 3" xfId="466" xr:uid="{00000000-0005-0000-0000-000045010000}"/>
    <cellStyle name="Normal 6 5 3 2" xfId="655" xr:uid="{00000000-0005-0000-0000-000045010000}"/>
    <cellStyle name="Normal 6 5 3 2 2" xfId="1057" xr:uid="{1C8382DD-7313-4230-83DE-73CBA1D16125}"/>
    <cellStyle name="Normal 6 5 3 3" xfId="877" xr:uid="{F2B07DC8-9440-46B1-8A86-22B2DB563F07}"/>
    <cellStyle name="Normal 6 5 4" xfId="567" xr:uid="{00000000-0005-0000-0000-000042010000}"/>
    <cellStyle name="Normal 6 5 4 2" xfId="969" xr:uid="{0950DD75-7F4F-4522-A30A-A6516173F87D}"/>
    <cellStyle name="Normal 6 5 5" xfId="789" xr:uid="{70F2D64B-6DA9-458B-BFB9-C67FC8B6960F}"/>
    <cellStyle name="Normal 6 6" xfId="409" xr:uid="{00000000-0005-0000-0000-000046010000}"/>
    <cellStyle name="Normal 6 6 2" xfId="497" xr:uid="{00000000-0005-0000-0000-000047010000}"/>
    <cellStyle name="Normal 6 6 2 2" xfId="686" xr:uid="{00000000-0005-0000-0000-000047010000}"/>
    <cellStyle name="Normal 6 6 2 2 2" xfId="1088" xr:uid="{925AEF8C-19BE-4354-8045-3EC221FB30B4}"/>
    <cellStyle name="Normal 6 6 2 3" xfId="908" xr:uid="{283F9A80-73FD-4362-B971-ECAFE177D962}"/>
    <cellStyle name="Normal 6 6 3" xfId="598" xr:uid="{00000000-0005-0000-0000-000046010000}"/>
    <cellStyle name="Normal 6 6 3 2" xfId="1000" xr:uid="{E5FA2FD8-C549-4EF6-A6A4-5C3B40AF7135}"/>
    <cellStyle name="Normal 6 6 4" xfId="820" xr:uid="{5FE8EC6C-84EC-42E8-B7AF-AA8B4ADC51EC}"/>
    <cellStyle name="Normal 6 7" xfId="453" xr:uid="{00000000-0005-0000-0000-000048010000}"/>
    <cellStyle name="Normal 6 7 2" xfId="642" xr:uid="{00000000-0005-0000-0000-000048010000}"/>
    <cellStyle name="Normal 6 7 2 2" xfId="1044" xr:uid="{723B4533-D0E9-4B01-A452-839D11605189}"/>
    <cellStyle name="Normal 6 7 3" xfId="864" xr:uid="{99A9681E-F9E2-49E9-8D9B-BB69DE76789E}"/>
    <cellStyle name="Normal 6 8" xfId="549" xr:uid="{00000000-0005-0000-0000-000008010000}"/>
    <cellStyle name="Normal 6 8 2" xfId="954" xr:uid="{1E220E35-2647-4364-84A0-8018395BD066}"/>
    <cellStyle name="Normal 6 9" xfId="776" xr:uid="{6F6A9009-0F76-4A7F-AB80-9D3DF3C18C41}"/>
    <cellStyle name="Normal 7" xfId="201" xr:uid="{00000000-0005-0000-0000-000049010000}"/>
    <cellStyle name="Normal 8" xfId="202" xr:uid="{00000000-0005-0000-0000-00004A010000}"/>
    <cellStyle name="Normal 8 2" xfId="203" xr:uid="{00000000-0005-0000-0000-00004B010000}"/>
    <cellStyle name="Normal 8 2 2" xfId="377" xr:uid="{00000000-0005-0000-0000-00004C010000}"/>
    <cellStyle name="Normal 8 2 2 2" xfId="431" xr:uid="{00000000-0005-0000-0000-00004D010000}"/>
    <cellStyle name="Normal 8 2 2 2 2" xfId="519" xr:uid="{00000000-0005-0000-0000-00004E010000}"/>
    <cellStyle name="Normal 8 2 2 2 2 2" xfId="708" xr:uid="{00000000-0005-0000-0000-00004E010000}"/>
    <cellStyle name="Normal 8 2 2 2 2 2 2" xfId="1110" xr:uid="{5982BC47-1F97-451B-B607-B0DF4F460E73}"/>
    <cellStyle name="Normal 8 2 2 2 2 3" xfId="930" xr:uid="{94819A6E-4304-43B6-B6A9-55A7327EBC38}"/>
    <cellStyle name="Normal 8 2 2 2 3" xfId="620" xr:uid="{00000000-0005-0000-0000-00004D010000}"/>
    <cellStyle name="Normal 8 2 2 2 3 2" xfId="1022" xr:uid="{B39122CC-889A-421A-ADF7-8EF028CECFE0}"/>
    <cellStyle name="Normal 8 2 2 2 4" xfId="842" xr:uid="{7B32F19E-F5E1-4513-A494-317C40821ABD}"/>
    <cellStyle name="Normal 8 2 2 3" xfId="475" xr:uid="{00000000-0005-0000-0000-00004F010000}"/>
    <cellStyle name="Normal 8 2 2 3 2" xfId="664" xr:uid="{00000000-0005-0000-0000-00004F010000}"/>
    <cellStyle name="Normal 8 2 2 3 2 2" xfId="1066" xr:uid="{87F312F4-0C41-4987-A125-5584218A6A31}"/>
    <cellStyle name="Normal 8 2 2 3 3" xfId="886" xr:uid="{F7FDED8D-5031-4F0C-8DAC-2F439A7E4C3A}"/>
    <cellStyle name="Normal 8 2 2 4" xfId="576" xr:uid="{00000000-0005-0000-0000-00004C010000}"/>
    <cellStyle name="Normal 8 2 2 4 2" xfId="978" xr:uid="{E909351B-82DC-4B78-9D90-33896EF08A3E}"/>
    <cellStyle name="Normal 8 2 2 5" xfId="798" xr:uid="{55E5094C-B40A-476E-9530-E66BD0DD54D2}"/>
    <cellStyle name="Normal 8 2 3" xfId="418" xr:uid="{00000000-0005-0000-0000-000050010000}"/>
    <cellStyle name="Normal 8 2 3 2" xfId="506" xr:uid="{00000000-0005-0000-0000-000051010000}"/>
    <cellStyle name="Normal 8 2 3 2 2" xfId="695" xr:uid="{00000000-0005-0000-0000-000051010000}"/>
    <cellStyle name="Normal 8 2 3 2 2 2" xfId="1097" xr:uid="{6A342A68-8D42-468A-9BCE-89897D6C106D}"/>
    <cellStyle name="Normal 8 2 3 2 3" xfId="917" xr:uid="{E11A73BE-E67C-4F02-B3D5-504C636476A1}"/>
    <cellStyle name="Normal 8 2 3 3" xfId="607" xr:uid="{00000000-0005-0000-0000-000050010000}"/>
    <cellStyle name="Normal 8 2 3 3 2" xfId="1009" xr:uid="{DFCB08B5-16EA-432E-B8D8-E6BACCF0518D}"/>
    <cellStyle name="Normal 8 2 3 4" xfId="829" xr:uid="{B77434CC-88A0-45F6-B40D-26181ED6284D}"/>
    <cellStyle name="Normal 8 2 4" xfId="462" xr:uid="{00000000-0005-0000-0000-000052010000}"/>
    <cellStyle name="Normal 8 2 4 2" xfId="651" xr:uid="{00000000-0005-0000-0000-000052010000}"/>
    <cellStyle name="Normal 8 2 4 2 2" xfId="1053" xr:uid="{871E6258-27A5-47EA-ACBB-D0EBB6854E4C}"/>
    <cellStyle name="Normal 8 2 4 3" xfId="873" xr:uid="{8E60D092-BC75-4CEC-A9D1-2C8478E11884}"/>
    <cellStyle name="Normal 8 2 5" xfId="558" xr:uid="{00000000-0005-0000-0000-00004B010000}"/>
    <cellStyle name="Normal 8 2 5 2" xfId="963" xr:uid="{6BB52625-2663-4912-BF3F-4C72B5C85EA3}"/>
    <cellStyle name="Normal 8 2 6" xfId="785" xr:uid="{EF6BFE8B-71FE-4478-8B58-7619EB579DC7}"/>
    <cellStyle name="Normal 8 3" xfId="376" xr:uid="{00000000-0005-0000-0000-000053010000}"/>
    <cellStyle name="Normal 8 3 2" xfId="430" xr:uid="{00000000-0005-0000-0000-000054010000}"/>
    <cellStyle name="Normal 8 3 2 2" xfId="518" xr:uid="{00000000-0005-0000-0000-000055010000}"/>
    <cellStyle name="Normal 8 3 2 2 2" xfId="707" xr:uid="{00000000-0005-0000-0000-000055010000}"/>
    <cellStyle name="Normal 8 3 2 2 2 2" xfId="1109" xr:uid="{16AE4E7C-6FEC-4F5D-A669-7339BBFF1064}"/>
    <cellStyle name="Normal 8 3 2 2 3" xfId="929" xr:uid="{F4ACF153-9E7D-4EBB-B998-286B9A68E376}"/>
    <cellStyle name="Normal 8 3 2 3" xfId="619" xr:uid="{00000000-0005-0000-0000-000054010000}"/>
    <cellStyle name="Normal 8 3 2 3 2" xfId="1021" xr:uid="{403F7152-E4A7-4165-938C-7AC9FF6BD3AE}"/>
    <cellStyle name="Normal 8 3 2 4" xfId="841" xr:uid="{211B223B-AF87-4DD6-8D7B-9A1E3A4A9C65}"/>
    <cellStyle name="Normal 8 3 3" xfId="474" xr:uid="{00000000-0005-0000-0000-000056010000}"/>
    <cellStyle name="Normal 8 3 3 2" xfId="663" xr:uid="{00000000-0005-0000-0000-000056010000}"/>
    <cellStyle name="Normal 8 3 3 2 2" xfId="1065" xr:uid="{3F350BF0-D6CA-4F6E-87D4-B6805CF4B9D2}"/>
    <cellStyle name="Normal 8 3 3 3" xfId="885" xr:uid="{47DF65C3-EACD-4FC8-98D6-1B0574A46C3E}"/>
    <cellStyle name="Normal 8 3 4" xfId="575" xr:uid="{00000000-0005-0000-0000-000053010000}"/>
    <cellStyle name="Normal 8 3 4 2" xfId="977" xr:uid="{E9465B7C-FC37-4010-90DE-4D6453946558}"/>
    <cellStyle name="Normal 8 3 5" xfId="797" xr:uid="{0607A2B6-2DC6-4572-96D2-B21CF016F09F}"/>
    <cellStyle name="Normal 8 4" xfId="384" xr:uid="{00000000-0005-0000-0000-000057010000}"/>
    <cellStyle name="Normal 8 4 2" xfId="437" xr:uid="{00000000-0005-0000-0000-000058010000}"/>
    <cellStyle name="Normal 8 4 2 2" xfId="525" xr:uid="{00000000-0005-0000-0000-000059010000}"/>
    <cellStyle name="Normal 8 4 2 2 2" xfId="714" xr:uid="{00000000-0005-0000-0000-000059010000}"/>
    <cellStyle name="Normal 8 4 2 2 2 2" xfId="1116" xr:uid="{F38F299C-DC13-46E5-876C-8D1B6B0894F0}"/>
    <cellStyle name="Normal 8 4 2 2 3" xfId="936" xr:uid="{7EBB23F5-FCC8-43D4-8B67-8AAB8A05075C}"/>
    <cellStyle name="Normal 8 4 2 3" xfId="626" xr:uid="{00000000-0005-0000-0000-000058010000}"/>
    <cellStyle name="Normal 8 4 2 3 2" xfId="1028" xr:uid="{3CC3639D-A752-45BA-9365-577F608ADD34}"/>
    <cellStyle name="Normal 8 4 2 4" xfId="848" xr:uid="{CA313391-2DFF-4F72-82D3-62F76D10B1AE}"/>
    <cellStyle name="Normal 8 4 3" xfId="481" xr:uid="{00000000-0005-0000-0000-00005A010000}"/>
    <cellStyle name="Normal 8 4 3 2" xfId="670" xr:uid="{00000000-0005-0000-0000-00005A010000}"/>
    <cellStyle name="Normal 8 4 3 2 2" xfId="1072" xr:uid="{7AF9F262-41B5-496E-A319-F723D050B76B}"/>
    <cellStyle name="Normal 8 4 3 3" xfId="892" xr:uid="{1DC82D98-97B8-41BB-9995-31B5960E11AE}"/>
    <cellStyle name="Normal 8 4 4" xfId="582" xr:uid="{00000000-0005-0000-0000-000057010000}"/>
    <cellStyle name="Normal 8 4 4 2" xfId="984" xr:uid="{B7A47057-1FAE-480E-8BE2-217F6522BDBA}"/>
    <cellStyle name="Normal 8 4 5" xfId="804" xr:uid="{3CB39ECE-C86E-48A3-94E9-2608F3D5326D}"/>
    <cellStyle name="Normal 8 5" xfId="417" xr:uid="{00000000-0005-0000-0000-00005B010000}"/>
    <cellStyle name="Normal 8 5 2" xfId="505" xr:uid="{00000000-0005-0000-0000-00005C010000}"/>
    <cellStyle name="Normal 8 5 2 2" xfId="694" xr:uid="{00000000-0005-0000-0000-00005C010000}"/>
    <cellStyle name="Normal 8 5 2 2 2" xfId="1096" xr:uid="{144974EE-CC32-4897-B8C7-B00AD4D9110C}"/>
    <cellStyle name="Normal 8 5 2 3" xfId="916" xr:uid="{22079FAB-0770-4A50-85FD-EFD0BB0DC98D}"/>
    <cellStyle name="Normal 8 5 3" xfId="606" xr:uid="{00000000-0005-0000-0000-00005B010000}"/>
    <cellStyle name="Normal 8 5 3 2" xfId="1008" xr:uid="{F62D8C6D-3555-45BF-B4A7-6509F8685000}"/>
    <cellStyle name="Normal 8 5 4" xfId="828" xr:uid="{D6C9ED9A-C48E-4F2F-BE13-6A1F853F0D55}"/>
    <cellStyle name="Normal 8 6" xfId="461" xr:uid="{00000000-0005-0000-0000-00005D010000}"/>
    <cellStyle name="Normal 8 6 2" xfId="650" xr:uid="{00000000-0005-0000-0000-00005D010000}"/>
    <cellStyle name="Normal 8 6 2 2" xfId="1052" xr:uid="{ABE1ABB1-F4A4-46F8-954D-105DC9961CEC}"/>
    <cellStyle name="Normal 8 6 3" xfId="872" xr:uid="{EFCEC209-8635-4FBB-A27D-FD6DD7D01FB4}"/>
    <cellStyle name="Normal 8 7" xfId="557" xr:uid="{00000000-0005-0000-0000-00004A010000}"/>
    <cellStyle name="Normal 8 7 2" xfId="962" xr:uid="{9ABA9FB7-3BB1-4FF8-95F8-7214BBA57383}"/>
    <cellStyle name="Normal 8 8" xfId="784" xr:uid="{8E2B7875-8385-4D9D-96D1-720E1BCE3A03}"/>
    <cellStyle name="Normal 9" xfId="204" xr:uid="{00000000-0005-0000-0000-00005E010000}"/>
    <cellStyle name="Normal 9 2" xfId="205" xr:uid="{00000000-0005-0000-0000-00005F010000}"/>
    <cellStyle name="Normal 9 2 2" xfId="379" xr:uid="{00000000-0005-0000-0000-000060010000}"/>
    <cellStyle name="Normal 9 2 2 2" xfId="433" xr:uid="{00000000-0005-0000-0000-000061010000}"/>
    <cellStyle name="Normal 9 2 2 2 2" xfId="521" xr:uid="{00000000-0005-0000-0000-000062010000}"/>
    <cellStyle name="Normal 9 2 2 2 2 2" xfId="710" xr:uid="{00000000-0005-0000-0000-000062010000}"/>
    <cellStyle name="Normal 9 2 2 2 2 2 2" xfId="1112" xr:uid="{B5621F27-37D7-4F5A-8520-3BC0C3829C96}"/>
    <cellStyle name="Normal 9 2 2 2 2 3" xfId="932" xr:uid="{5E04F3B2-10F6-47F6-B226-4036F941E661}"/>
    <cellStyle name="Normal 9 2 2 2 3" xfId="622" xr:uid="{00000000-0005-0000-0000-000061010000}"/>
    <cellStyle name="Normal 9 2 2 2 3 2" xfId="1024" xr:uid="{12DD74A3-E451-441D-899C-5E45D4AE0DC6}"/>
    <cellStyle name="Normal 9 2 2 2 4" xfId="844" xr:uid="{3A82F616-275B-435E-87FE-ABB5653E3648}"/>
    <cellStyle name="Normal 9 2 2 3" xfId="477" xr:uid="{00000000-0005-0000-0000-000063010000}"/>
    <cellStyle name="Normal 9 2 2 3 2" xfId="666" xr:uid="{00000000-0005-0000-0000-000063010000}"/>
    <cellStyle name="Normal 9 2 2 3 2 2" xfId="1068" xr:uid="{26C32678-5FF3-4649-B3BF-5F2D5E2462E5}"/>
    <cellStyle name="Normal 9 2 2 3 3" xfId="888" xr:uid="{D3616717-4504-486A-811B-44094B0BEA1E}"/>
    <cellStyle name="Normal 9 2 2 4" xfId="578" xr:uid="{00000000-0005-0000-0000-000060010000}"/>
    <cellStyle name="Normal 9 2 2 4 2" xfId="980" xr:uid="{24AA0DCE-5FDC-4B16-93BD-16A0BB76F99B}"/>
    <cellStyle name="Normal 9 2 2 5" xfId="800" xr:uid="{40137909-35D0-418B-AD32-32E279BE14EF}"/>
    <cellStyle name="Normal 9 2 3" xfId="420" xr:uid="{00000000-0005-0000-0000-000064010000}"/>
    <cellStyle name="Normal 9 2 3 2" xfId="508" xr:uid="{00000000-0005-0000-0000-000065010000}"/>
    <cellStyle name="Normal 9 2 3 2 2" xfId="697" xr:uid="{00000000-0005-0000-0000-000065010000}"/>
    <cellStyle name="Normal 9 2 3 2 2 2" xfId="1099" xr:uid="{CCF44458-5FAF-4F7B-BBB4-D50DCCDEE08A}"/>
    <cellStyle name="Normal 9 2 3 2 3" xfId="919" xr:uid="{FBAE4350-6709-4665-97DD-9C75B442C60D}"/>
    <cellStyle name="Normal 9 2 3 3" xfId="609" xr:uid="{00000000-0005-0000-0000-000064010000}"/>
    <cellStyle name="Normal 9 2 3 3 2" xfId="1011" xr:uid="{A12E2F24-383A-4BCE-9A10-5907515C760E}"/>
    <cellStyle name="Normal 9 2 3 4" xfId="831" xr:uid="{C5B1DCE6-A200-4D21-9A45-E718430E5E8C}"/>
    <cellStyle name="Normal 9 2 4" xfId="464" xr:uid="{00000000-0005-0000-0000-000066010000}"/>
    <cellStyle name="Normal 9 2 4 2" xfId="653" xr:uid="{00000000-0005-0000-0000-000066010000}"/>
    <cellStyle name="Normal 9 2 4 2 2" xfId="1055" xr:uid="{DE5C5808-49E7-43C5-BFBE-97AD77137A25}"/>
    <cellStyle name="Normal 9 2 4 3" xfId="875" xr:uid="{A7B3CA2D-39F6-461E-9895-A2D3E17E888B}"/>
    <cellStyle name="Normal 9 2 5" xfId="560" xr:uid="{00000000-0005-0000-0000-00005F010000}"/>
    <cellStyle name="Normal 9 2 5 2" xfId="965" xr:uid="{7D56D7BA-D9B7-4A75-B5D8-E9C111C423C2}"/>
    <cellStyle name="Normal 9 2 6" xfId="787" xr:uid="{3207A61E-389C-4BD9-95EF-BA1F6B33280B}"/>
    <cellStyle name="Normal 9 3" xfId="378" xr:uid="{00000000-0005-0000-0000-000067010000}"/>
    <cellStyle name="Normal 9 3 2" xfId="432" xr:uid="{00000000-0005-0000-0000-000068010000}"/>
    <cellStyle name="Normal 9 3 2 2" xfId="520" xr:uid="{00000000-0005-0000-0000-000069010000}"/>
    <cellStyle name="Normal 9 3 2 2 2" xfId="709" xr:uid="{00000000-0005-0000-0000-000069010000}"/>
    <cellStyle name="Normal 9 3 2 2 2 2" xfId="1111" xr:uid="{F77E13F2-5079-4F09-BEBF-5F0CB7E2A507}"/>
    <cellStyle name="Normal 9 3 2 2 3" xfId="931" xr:uid="{000D87A3-8E22-4ABB-9858-94555F26DDAA}"/>
    <cellStyle name="Normal 9 3 2 3" xfId="621" xr:uid="{00000000-0005-0000-0000-000068010000}"/>
    <cellStyle name="Normal 9 3 2 3 2" xfId="1023" xr:uid="{E1AD8025-D155-4866-BDD1-3560A0E02B68}"/>
    <cellStyle name="Normal 9 3 2 4" xfId="843" xr:uid="{BA3819FA-05FF-4555-9424-E86820EB9832}"/>
    <cellStyle name="Normal 9 3 3" xfId="476" xr:uid="{00000000-0005-0000-0000-00006A010000}"/>
    <cellStyle name="Normal 9 3 3 2" xfId="665" xr:uid="{00000000-0005-0000-0000-00006A010000}"/>
    <cellStyle name="Normal 9 3 3 2 2" xfId="1067" xr:uid="{C0F14762-17C3-4FFF-98A5-3DFF3CE646C4}"/>
    <cellStyle name="Normal 9 3 3 3" xfId="887" xr:uid="{65AA9F68-8543-4143-A550-304E7730A034}"/>
    <cellStyle name="Normal 9 3 4" xfId="577" xr:uid="{00000000-0005-0000-0000-000067010000}"/>
    <cellStyle name="Normal 9 3 4 2" xfId="979" xr:uid="{72B29B47-EEA3-4F30-BBDE-38E7E8A710C6}"/>
    <cellStyle name="Normal 9 3 5" xfId="799" xr:uid="{4760CDA8-8913-4AF3-852F-91F3EAC658CB}"/>
    <cellStyle name="Normal 9 4" xfId="407" xr:uid="{00000000-0005-0000-0000-00006B010000}"/>
    <cellStyle name="Normal 9 4 2" xfId="451" xr:uid="{00000000-0005-0000-0000-00006C010000}"/>
    <cellStyle name="Normal 9 4 2 2" xfId="539" xr:uid="{00000000-0005-0000-0000-00006D010000}"/>
    <cellStyle name="Normal 9 4 2 2 2" xfId="728" xr:uid="{00000000-0005-0000-0000-00006D010000}"/>
    <cellStyle name="Normal 9 4 2 2 2 2" xfId="1130" xr:uid="{4CD401C8-2C38-4D67-8D81-CD055C4CEE79}"/>
    <cellStyle name="Normal 9 4 2 2 3" xfId="950" xr:uid="{7D8F8B2C-1DE8-48BF-9F57-A0AA9C153E6B}"/>
    <cellStyle name="Normal 9 4 2 3" xfId="640" xr:uid="{00000000-0005-0000-0000-00006C010000}"/>
    <cellStyle name="Normal 9 4 2 3 2" xfId="1042" xr:uid="{D29AD93C-69F5-4CD2-9AB1-554A65E9097C}"/>
    <cellStyle name="Normal 9 4 2 4" xfId="862" xr:uid="{7A8EB065-F8BC-4091-B2C7-3F7C16C104F4}"/>
    <cellStyle name="Normal 9 4 3" xfId="495" xr:uid="{00000000-0005-0000-0000-00006E010000}"/>
    <cellStyle name="Normal 9 4 3 2" xfId="684" xr:uid="{00000000-0005-0000-0000-00006E010000}"/>
    <cellStyle name="Normal 9 4 3 2 2" xfId="1086" xr:uid="{146B60AF-D0F1-4698-99AB-50900D347DEB}"/>
    <cellStyle name="Normal 9 4 3 3" xfId="906" xr:uid="{919BE3C3-92CC-4429-BCAC-C481EF05C586}"/>
    <cellStyle name="Normal 9 4 4" xfId="596" xr:uid="{00000000-0005-0000-0000-00006B010000}"/>
    <cellStyle name="Normal 9 4 4 2" xfId="998" xr:uid="{D8DCEF10-CEB9-4734-8DCA-D13C18CDAE50}"/>
    <cellStyle name="Normal 9 4 5" xfId="818" xr:uid="{BF8F06F6-9598-4F78-BFEA-16AC03733F88}"/>
    <cellStyle name="Normal 9 5" xfId="419" xr:uid="{00000000-0005-0000-0000-00006F010000}"/>
    <cellStyle name="Normal 9 5 2" xfId="507" xr:uid="{00000000-0005-0000-0000-000070010000}"/>
    <cellStyle name="Normal 9 5 2 2" xfId="696" xr:uid="{00000000-0005-0000-0000-000070010000}"/>
    <cellStyle name="Normal 9 5 2 2 2" xfId="1098" xr:uid="{F12B14DC-615E-4138-8960-28C56379F1AF}"/>
    <cellStyle name="Normal 9 5 2 3" xfId="918" xr:uid="{BE14B5F5-FD9A-47B7-88C5-2C85448AA5AE}"/>
    <cellStyle name="Normal 9 5 3" xfId="608" xr:uid="{00000000-0005-0000-0000-00006F010000}"/>
    <cellStyle name="Normal 9 5 3 2" xfId="1010" xr:uid="{717FC237-CC36-44D6-9789-5AE816024B42}"/>
    <cellStyle name="Normal 9 5 4" xfId="830" xr:uid="{D4F17FF5-677E-478A-BF55-072A317FB80E}"/>
    <cellStyle name="Normal 9 6" xfId="463" xr:uid="{00000000-0005-0000-0000-000071010000}"/>
    <cellStyle name="Normal 9 6 2" xfId="652" xr:uid="{00000000-0005-0000-0000-000071010000}"/>
    <cellStyle name="Normal 9 6 2 2" xfId="1054" xr:uid="{CABEE063-49EF-4CEB-A707-0C0610517CAE}"/>
    <cellStyle name="Normal 9 6 3" xfId="874" xr:uid="{B048306C-7CFD-4150-B0B6-DF19200DFD5A}"/>
    <cellStyle name="Normal 9 7" xfId="559" xr:uid="{00000000-0005-0000-0000-00005E010000}"/>
    <cellStyle name="Normal 9 7 2" xfId="964" xr:uid="{B689CDA4-AD58-44E5-99D6-F1C328F44AAE}"/>
    <cellStyle name="Normal 9 8" xfId="786" xr:uid="{F5F51CF8-DDA6-43B7-96CA-2532396EC38B}"/>
    <cellStyle name="Normal_21 Exh B" xfId="206" xr:uid="{00000000-0005-0000-0000-000072010000}"/>
    <cellStyle name="Normal_A" xfId="399" xr:uid="{00000000-0005-0000-0000-000073010000}"/>
    <cellStyle name="Normal_ATC Projected 2008 Monthly Plant Balances for Attachment O 2 (2)" xfId="207" xr:uid="{00000000-0005-0000-0000-000074010000}"/>
    <cellStyle name="Normal_Attachment GG Example 8 26 09" xfId="208" xr:uid="{00000000-0005-0000-0000-000075010000}"/>
    <cellStyle name="Normal_Attachment GG Template ER11-28 11-18-10" xfId="209" xr:uid="{00000000-0005-0000-0000-000076010000}"/>
    <cellStyle name="Normal_Attachment O Support - 2004 True-up" xfId="210" xr:uid="{00000000-0005-0000-0000-000077010000}"/>
    <cellStyle name="Normal_Attachment Os for 2002 True-up" xfId="211" xr:uid="{00000000-0005-0000-0000-000078010000}"/>
    <cellStyle name="Normal_interest calc Book1" xfId="383" xr:uid="{00000000-0005-0000-0000-000079010000}"/>
    <cellStyle name="Normal_Red Line and Clean Copy 5-5-2010 populated attachment 9 and supplement (2)" xfId="398" xr:uid="{00000000-0005-0000-0000-00007A010000}"/>
    <cellStyle name="Normal_Schedule O Info for Mike" xfId="212" xr:uid="{00000000-0005-0000-0000-00007B010000}"/>
    <cellStyle name="Output1_Back" xfId="213" xr:uid="{00000000-0005-0000-0000-00007C010000}"/>
    <cellStyle name="p" xfId="214" xr:uid="{00000000-0005-0000-0000-00007D010000}"/>
    <cellStyle name="p_2010 Attachment O  GG_082709" xfId="215" xr:uid="{00000000-0005-0000-0000-00007E010000}"/>
    <cellStyle name="p_2010 Attachment O Template Supporting Work Papers_ITC Midwest" xfId="216" xr:uid="{00000000-0005-0000-0000-00007F010000}"/>
    <cellStyle name="p_2010 Attachment O Template Supporting Work Papers_ITCTransmission" xfId="217" xr:uid="{00000000-0005-0000-0000-000080010000}"/>
    <cellStyle name="p_2010 Attachment O Template Supporting Work Papers_METC" xfId="218" xr:uid="{00000000-0005-0000-0000-000081010000}"/>
    <cellStyle name="p_2Mod11" xfId="219" xr:uid="{00000000-0005-0000-0000-000082010000}"/>
    <cellStyle name="p_aavidmod11.xls Chart 1" xfId="220" xr:uid="{00000000-0005-0000-0000-000083010000}"/>
    <cellStyle name="p_aavidmod11.xls Chart 2" xfId="221" xr:uid="{00000000-0005-0000-0000-000084010000}"/>
    <cellStyle name="p_Attachment O &amp; GG" xfId="222" xr:uid="{00000000-0005-0000-0000-000085010000}"/>
    <cellStyle name="p_charts for capm" xfId="223" xr:uid="{00000000-0005-0000-0000-000086010000}"/>
    <cellStyle name="p_DCF" xfId="224" xr:uid="{00000000-0005-0000-0000-000087010000}"/>
    <cellStyle name="p_DCF_2Mod11" xfId="225" xr:uid="{00000000-0005-0000-0000-000088010000}"/>
    <cellStyle name="p_DCF_aavidmod11.xls Chart 1" xfId="226" xr:uid="{00000000-0005-0000-0000-000089010000}"/>
    <cellStyle name="p_DCF_aavidmod11.xls Chart 2" xfId="227" xr:uid="{00000000-0005-0000-0000-00008A010000}"/>
    <cellStyle name="p_DCF_charts for capm" xfId="228" xr:uid="{00000000-0005-0000-0000-00008B010000}"/>
    <cellStyle name="p_DCF_DCF5" xfId="229" xr:uid="{00000000-0005-0000-0000-00008C010000}"/>
    <cellStyle name="p_DCF_Template2" xfId="230" xr:uid="{00000000-0005-0000-0000-00008D010000}"/>
    <cellStyle name="p_DCF_Template2_1" xfId="231" xr:uid="{00000000-0005-0000-0000-00008E010000}"/>
    <cellStyle name="p_DCF_VERA" xfId="232" xr:uid="{00000000-0005-0000-0000-00008F010000}"/>
    <cellStyle name="p_DCF_VERA_1" xfId="233" xr:uid="{00000000-0005-0000-0000-000090010000}"/>
    <cellStyle name="p_DCF_VERA_1_Template2" xfId="234" xr:uid="{00000000-0005-0000-0000-000091010000}"/>
    <cellStyle name="p_DCF_VERA_aavidmod11.xls Chart 2" xfId="235" xr:uid="{00000000-0005-0000-0000-000092010000}"/>
    <cellStyle name="p_DCF_VERA_Model02" xfId="236" xr:uid="{00000000-0005-0000-0000-000093010000}"/>
    <cellStyle name="p_DCF_VERA_Template2" xfId="237" xr:uid="{00000000-0005-0000-0000-000094010000}"/>
    <cellStyle name="p_DCF_VERA_VERA" xfId="238" xr:uid="{00000000-0005-0000-0000-000095010000}"/>
    <cellStyle name="p_DCF_VERA_VERA_1" xfId="239" xr:uid="{00000000-0005-0000-0000-000096010000}"/>
    <cellStyle name="p_DCF_VERA_VERA_2" xfId="240" xr:uid="{00000000-0005-0000-0000-000097010000}"/>
    <cellStyle name="p_DCF_VERA_VERA_Template2" xfId="241" xr:uid="{00000000-0005-0000-0000-000098010000}"/>
    <cellStyle name="p_DCF5" xfId="242" xr:uid="{00000000-0005-0000-0000-000099010000}"/>
    <cellStyle name="p_ITC Great Plains Formula 1-12-09a" xfId="243" xr:uid="{00000000-0005-0000-0000-00009A010000}"/>
    <cellStyle name="p_ITCM 2010 Template" xfId="244" xr:uid="{00000000-0005-0000-0000-00009B010000}"/>
    <cellStyle name="p_ITCMW 2009 Rate" xfId="245" xr:uid="{00000000-0005-0000-0000-00009C010000}"/>
    <cellStyle name="p_ITCMW 2010 Rate_083109" xfId="246" xr:uid="{00000000-0005-0000-0000-00009D010000}"/>
    <cellStyle name="p_ITCOP 2010 Rate_083109" xfId="247" xr:uid="{00000000-0005-0000-0000-00009E010000}"/>
    <cellStyle name="p_ITCT 2009 Rate" xfId="248" xr:uid="{00000000-0005-0000-0000-00009F010000}"/>
    <cellStyle name="p_ITCT New 2010 Attachment O &amp; GG_111209NL" xfId="249" xr:uid="{00000000-0005-0000-0000-0000A0010000}"/>
    <cellStyle name="p_METC 2010 Rate_083109" xfId="250" xr:uid="{00000000-0005-0000-0000-0000A1010000}"/>
    <cellStyle name="p_Template2" xfId="251" xr:uid="{00000000-0005-0000-0000-0000A2010000}"/>
    <cellStyle name="p_Template2_1" xfId="252" xr:uid="{00000000-0005-0000-0000-0000A3010000}"/>
    <cellStyle name="p_VERA" xfId="253" xr:uid="{00000000-0005-0000-0000-0000A4010000}"/>
    <cellStyle name="p_VERA_1" xfId="254" xr:uid="{00000000-0005-0000-0000-0000A5010000}"/>
    <cellStyle name="p_VERA_1_Template2" xfId="255" xr:uid="{00000000-0005-0000-0000-0000A6010000}"/>
    <cellStyle name="p_VERA_aavidmod11.xls Chart 2" xfId="256" xr:uid="{00000000-0005-0000-0000-0000A7010000}"/>
    <cellStyle name="p_VERA_Model02" xfId="257" xr:uid="{00000000-0005-0000-0000-0000A8010000}"/>
    <cellStyle name="p_VERA_Template2" xfId="258" xr:uid="{00000000-0005-0000-0000-0000A9010000}"/>
    <cellStyle name="p_VERA_VERA" xfId="259" xr:uid="{00000000-0005-0000-0000-0000AA010000}"/>
    <cellStyle name="p_VERA_VERA_1" xfId="260" xr:uid="{00000000-0005-0000-0000-0000AB010000}"/>
    <cellStyle name="p_VERA_VERA_2" xfId="261" xr:uid="{00000000-0005-0000-0000-0000AC010000}"/>
    <cellStyle name="p_VERA_VERA_Template2" xfId="262" xr:uid="{00000000-0005-0000-0000-0000AD010000}"/>
    <cellStyle name="p1" xfId="263" xr:uid="{00000000-0005-0000-0000-0000AE010000}"/>
    <cellStyle name="p2" xfId="264" xr:uid="{00000000-0005-0000-0000-0000AF010000}"/>
    <cellStyle name="p3" xfId="265" xr:uid="{00000000-0005-0000-0000-0000B0010000}"/>
    <cellStyle name="Percent" xfId="266" builtinId="5"/>
    <cellStyle name="Percent %" xfId="267" xr:uid="{00000000-0005-0000-0000-0000B2010000}"/>
    <cellStyle name="Percent % Long Underline" xfId="268" xr:uid="{00000000-0005-0000-0000-0000B3010000}"/>
    <cellStyle name="Percent (0)" xfId="269" xr:uid="{00000000-0005-0000-0000-0000B4010000}"/>
    <cellStyle name="Percent [0]" xfId="270" xr:uid="{00000000-0005-0000-0000-0000B5010000}"/>
    <cellStyle name="Percent [1]" xfId="271" xr:uid="{00000000-0005-0000-0000-0000B6010000}"/>
    <cellStyle name="Percent [2]" xfId="272" xr:uid="{00000000-0005-0000-0000-0000B7010000}"/>
    <cellStyle name="Percent [3]" xfId="273" xr:uid="{00000000-0005-0000-0000-0000B8010000}"/>
    <cellStyle name="Percent 0.0%" xfId="274" xr:uid="{00000000-0005-0000-0000-0000B9010000}"/>
    <cellStyle name="Percent 0.0% Long Underline" xfId="275" xr:uid="{00000000-0005-0000-0000-0000BA010000}"/>
    <cellStyle name="Percent 0.00%" xfId="276" xr:uid="{00000000-0005-0000-0000-0000BB010000}"/>
    <cellStyle name="Percent 0.00% Long Underline" xfId="277" xr:uid="{00000000-0005-0000-0000-0000BC010000}"/>
    <cellStyle name="Percent 0.000%" xfId="278" xr:uid="{00000000-0005-0000-0000-0000BD010000}"/>
    <cellStyle name="Percent 0.000% Long Underline" xfId="279" xr:uid="{00000000-0005-0000-0000-0000BE010000}"/>
    <cellStyle name="Percent 0.0000%" xfId="280" xr:uid="{00000000-0005-0000-0000-0000BF010000}"/>
    <cellStyle name="Percent 0.0000% Long Underline" xfId="281" xr:uid="{00000000-0005-0000-0000-0000C0010000}"/>
    <cellStyle name="Percent 10" xfId="731" xr:uid="{00000000-0005-0000-0000-00004F020000}"/>
    <cellStyle name="Percent 11" xfId="542" xr:uid="{00000000-0005-0000-0000-0000F8020000}"/>
    <cellStyle name="Percent 11 2" xfId="952" xr:uid="{86B7F0A3-232B-4F1F-9A8C-431456832F1B}"/>
    <cellStyle name="Percent 12" xfId="757" xr:uid="{00000000-0005-0000-0000-0000FE020000}"/>
    <cellStyle name="Percent 13" xfId="753" xr:uid="{00000000-0005-0000-0000-00000B030000}"/>
    <cellStyle name="Percent 14" xfId="760" xr:uid="{00000000-0005-0000-0000-00000F030000}"/>
    <cellStyle name="Percent 15" xfId="737" xr:uid="{00000000-0005-0000-0000-000013030000}"/>
    <cellStyle name="Percent 16" xfId="767" xr:uid="{00000000-0005-0000-0000-000017030000}"/>
    <cellStyle name="Percent 17" xfId="762" xr:uid="{00000000-0005-0000-0000-00001B030000}"/>
    <cellStyle name="Percent 18" xfId="758" xr:uid="{00000000-0005-0000-0000-00001F030000}"/>
    <cellStyle name="Percent 19" xfId="747" xr:uid="{00000000-0005-0000-0000-000023030000}"/>
    <cellStyle name="Percent 2" xfId="282" xr:uid="{00000000-0005-0000-0000-0000C1010000}"/>
    <cellStyle name="Percent 2 2" xfId="283" xr:uid="{00000000-0005-0000-0000-0000C2010000}"/>
    <cellStyle name="Percent 20" xfId="751" xr:uid="{00000000-0005-0000-0000-000027030000}"/>
    <cellStyle name="Percent 21" xfId="564" xr:uid="{00000000-0005-0000-0000-000020030000}"/>
    <cellStyle name="Percent 21 2" xfId="966" xr:uid="{FA918259-023A-4126-981B-EA4DE8C066F2}"/>
    <cellStyle name="Percent 22" xfId="769" xr:uid="{00000000-0005-0000-0000-000009000000}"/>
    <cellStyle name="Percent 3" xfId="284" xr:uid="{00000000-0005-0000-0000-0000C3010000}"/>
    <cellStyle name="Percent 3 2" xfId="285" xr:uid="{00000000-0005-0000-0000-0000C4010000}"/>
    <cellStyle name="Percent 4" xfId="286" xr:uid="{00000000-0005-0000-0000-0000C5010000}"/>
    <cellStyle name="Percent 5" xfId="287" xr:uid="{00000000-0005-0000-0000-0000C6010000}"/>
    <cellStyle name="Percent 6" xfId="288" xr:uid="{00000000-0005-0000-0000-0000C7010000}"/>
    <cellStyle name="Percent 7" xfId="289" xr:uid="{00000000-0005-0000-0000-0000C8010000}"/>
    <cellStyle name="Percent 8" xfId="382" xr:uid="{00000000-0005-0000-0000-0000C9010000}"/>
    <cellStyle name="Percent 8 2" xfId="436" xr:uid="{00000000-0005-0000-0000-0000CA010000}"/>
    <cellStyle name="Percent 8 2 2" xfId="524" xr:uid="{00000000-0005-0000-0000-0000CB010000}"/>
    <cellStyle name="Percent 8 2 2 2" xfId="713" xr:uid="{00000000-0005-0000-0000-0000CB010000}"/>
    <cellStyle name="Percent 8 2 2 2 2" xfId="1115" xr:uid="{7240487D-9350-461F-B210-BF9E78A82416}"/>
    <cellStyle name="Percent 8 2 2 3" xfId="935" xr:uid="{B81E3C20-6466-41ED-9462-DFE888342381}"/>
    <cellStyle name="Percent 8 2 3" xfId="625" xr:uid="{00000000-0005-0000-0000-0000CA010000}"/>
    <cellStyle name="Percent 8 2 3 2" xfId="1027" xr:uid="{AB8151D3-437D-4D91-A65E-2E9CFAE68FBD}"/>
    <cellStyle name="Percent 8 2 4" xfId="847" xr:uid="{29F5034D-1602-4BDD-97EE-B0955E9EBFF9}"/>
    <cellStyle name="Percent 8 3" xfId="480" xr:uid="{00000000-0005-0000-0000-0000CC010000}"/>
    <cellStyle name="Percent 8 3 2" xfId="669" xr:uid="{00000000-0005-0000-0000-0000CC010000}"/>
    <cellStyle name="Percent 8 3 2 2" xfId="1071" xr:uid="{08B8B2B1-F96A-40D3-9CBF-4A0B317ACF8B}"/>
    <cellStyle name="Percent 8 3 3" xfId="891" xr:uid="{D7CC6031-A0BA-4F33-8297-B4C99AB984FB}"/>
    <cellStyle name="Percent 8 4" xfId="581" xr:uid="{00000000-0005-0000-0000-0000C9010000}"/>
    <cellStyle name="Percent 8 4 2" xfId="983" xr:uid="{71EF5BAB-5DF8-478C-ACE5-47AB3093E4C6}"/>
    <cellStyle name="Percent 8 5" xfId="803" xr:uid="{6FC92FA0-3BD0-435C-BF5B-4205A84F3BB6}"/>
    <cellStyle name="Percent 9" xfId="562" xr:uid="{00000000-0005-0000-0000-0000E0010000}"/>
    <cellStyle name="Percent 9 2 2" xfId="391" xr:uid="{00000000-0005-0000-0000-0000CD010000}"/>
    <cellStyle name="Percent 9 2 2 2" xfId="402" xr:uid="{00000000-0005-0000-0000-0000CE010000}"/>
    <cellStyle name="Percent 9 2 2 3" xfId="441" xr:uid="{00000000-0005-0000-0000-0000CF010000}"/>
    <cellStyle name="Percent 9 2 2 3 2" xfId="529" xr:uid="{00000000-0005-0000-0000-0000D0010000}"/>
    <cellStyle name="Percent 9 2 2 3 2 2" xfId="718" xr:uid="{00000000-0005-0000-0000-0000D0010000}"/>
    <cellStyle name="Percent 9 2 2 3 2 2 2" xfId="1120" xr:uid="{558BD944-75C6-488A-8FDA-EB7874312D33}"/>
    <cellStyle name="Percent 9 2 2 3 2 3" xfId="940" xr:uid="{34DFC6E4-A23A-40F3-8EFA-2B40375E1EFB}"/>
    <cellStyle name="Percent 9 2 2 3 3" xfId="630" xr:uid="{00000000-0005-0000-0000-0000CF010000}"/>
    <cellStyle name="Percent 9 2 2 3 3 2" xfId="1032" xr:uid="{C77E70CF-451A-4ABE-9D41-3A961AA5D64E}"/>
    <cellStyle name="Percent 9 2 2 3 4" xfId="852" xr:uid="{190860FD-DBC8-4A89-910B-82604C0C8DD7}"/>
    <cellStyle name="Percent 9 2 2 4" xfId="485" xr:uid="{00000000-0005-0000-0000-0000D1010000}"/>
    <cellStyle name="Percent 9 2 2 4 2" xfId="674" xr:uid="{00000000-0005-0000-0000-0000D1010000}"/>
    <cellStyle name="Percent 9 2 2 4 2 2" xfId="1076" xr:uid="{514F63EE-9BCD-4885-B521-F0B48A7F74F0}"/>
    <cellStyle name="Percent 9 2 2 4 3" xfId="896" xr:uid="{1C78AF24-698B-4AE1-8407-8958EAFCD5F5}"/>
    <cellStyle name="Percent 9 2 2 5" xfId="586" xr:uid="{00000000-0005-0000-0000-0000CD010000}"/>
    <cellStyle name="Percent 9 2 2 5 2" xfId="988" xr:uid="{D177B938-D8B1-4DFD-AC49-4C1935048B89}"/>
    <cellStyle name="Percent 9 2 2 6" xfId="808" xr:uid="{36803F0F-91EF-43AB-9A82-2286E285D2C9}"/>
    <cellStyle name="Percent Input" xfId="290" xr:uid="{00000000-0005-0000-0000-0000D2010000}"/>
    <cellStyle name="Percent0" xfId="291" xr:uid="{00000000-0005-0000-0000-0000D3010000}"/>
    <cellStyle name="Percent1" xfId="292" xr:uid="{00000000-0005-0000-0000-0000D4010000}"/>
    <cellStyle name="Percent2" xfId="293" xr:uid="{00000000-0005-0000-0000-0000D5010000}"/>
    <cellStyle name="PSChar" xfId="294" xr:uid="{00000000-0005-0000-0000-0000D6010000}"/>
    <cellStyle name="PSChar 2" xfId="773" xr:uid="{00000000-0005-0000-0000-00000A000000}"/>
    <cellStyle name="PSDate" xfId="295" xr:uid="{00000000-0005-0000-0000-0000D7010000}"/>
    <cellStyle name="PSDec" xfId="296" xr:uid="{00000000-0005-0000-0000-0000D8010000}"/>
    <cellStyle name="PSdesc" xfId="297" xr:uid="{00000000-0005-0000-0000-0000D9010000}"/>
    <cellStyle name="PSHeading" xfId="298" xr:uid="{00000000-0005-0000-0000-0000DA010000}"/>
    <cellStyle name="PSInt" xfId="299" xr:uid="{00000000-0005-0000-0000-0000DB010000}"/>
    <cellStyle name="PSSpacer" xfId="300" xr:uid="{00000000-0005-0000-0000-0000DC010000}"/>
    <cellStyle name="PStest" xfId="301" xr:uid="{00000000-0005-0000-0000-0000DD010000}"/>
    <cellStyle name="R00A" xfId="302" xr:uid="{00000000-0005-0000-0000-0000DE010000}"/>
    <cellStyle name="R00B" xfId="303" xr:uid="{00000000-0005-0000-0000-0000DF010000}"/>
    <cellStyle name="R00L" xfId="304" xr:uid="{00000000-0005-0000-0000-0000E0010000}"/>
    <cellStyle name="R01A" xfId="305" xr:uid="{00000000-0005-0000-0000-0000E1010000}"/>
    <cellStyle name="R01B" xfId="306" xr:uid="{00000000-0005-0000-0000-0000E2010000}"/>
    <cellStyle name="R01H" xfId="307" xr:uid="{00000000-0005-0000-0000-0000E3010000}"/>
    <cellStyle name="R01L" xfId="308" xr:uid="{00000000-0005-0000-0000-0000E4010000}"/>
    <cellStyle name="R02A" xfId="309" xr:uid="{00000000-0005-0000-0000-0000E5010000}"/>
    <cellStyle name="R02B" xfId="310" xr:uid="{00000000-0005-0000-0000-0000E6010000}"/>
    <cellStyle name="R02H" xfId="311" xr:uid="{00000000-0005-0000-0000-0000E7010000}"/>
    <cellStyle name="R02L" xfId="312" xr:uid="{00000000-0005-0000-0000-0000E8010000}"/>
    <cellStyle name="R03A" xfId="313" xr:uid="{00000000-0005-0000-0000-0000E9010000}"/>
    <cellStyle name="R03B" xfId="314" xr:uid="{00000000-0005-0000-0000-0000EA010000}"/>
    <cellStyle name="R03H" xfId="315" xr:uid="{00000000-0005-0000-0000-0000EB010000}"/>
    <cellStyle name="R03L" xfId="316" xr:uid="{00000000-0005-0000-0000-0000EC010000}"/>
    <cellStyle name="R04A" xfId="317" xr:uid="{00000000-0005-0000-0000-0000ED010000}"/>
    <cellStyle name="R04B" xfId="318" xr:uid="{00000000-0005-0000-0000-0000EE010000}"/>
    <cellStyle name="R04H" xfId="319" xr:uid="{00000000-0005-0000-0000-0000EF010000}"/>
    <cellStyle name="R04L" xfId="320" xr:uid="{00000000-0005-0000-0000-0000F0010000}"/>
    <cellStyle name="R05A" xfId="321" xr:uid="{00000000-0005-0000-0000-0000F1010000}"/>
    <cellStyle name="R05B" xfId="322" xr:uid="{00000000-0005-0000-0000-0000F2010000}"/>
    <cellStyle name="R05H" xfId="323" xr:uid="{00000000-0005-0000-0000-0000F3010000}"/>
    <cellStyle name="R05L" xfId="324" xr:uid="{00000000-0005-0000-0000-0000F4010000}"/>
    <cellStyle name="R05L 2" xfId="325" xr:uid="{00000000-0005-0000-0000-0000F5010000}"/>
    <cellStyle name="R06A" xfId="326" xr:uid="{00000000-0005-0000-0000-0000F6010000}"/>
    <cellStyle name="R06B" xfId="327" xr:uid="{00000000-0005-0000-0000-0000F7010000}"/>
    <cellStyle name="R06H" xfId="328" xr:uid="{00000000-0005-0000-0000-0000F8010000}"/>
    <cellStyle name="R06L" xfId="329" xr:uid="{00000000-0005-0000-0000-0000F9010000}"/>
    <cellStyle name="R07A" xfId="330" xr:uid="{00000000-0005-0000-0000-0000FA010000}"/>
    <cellStyle name="R07B" xfId="331" xr:uid="{00000000-0005-0000-0000-0000FB010000}"/>
    <cellStyle name="R07H" xfId="332" xr:uid="{00000000-0005-0000-0000-0000FC010000}"/>
    <cellStyle name="R07L" xfId="333" xr:uid="{00000000-0005-0000-0000-0000FD010000}"/>
    <cellStyle name="rborder" xfId="334" xr:uid="{00000000-0005-0000-0000-0000FE010000}"/>
    <cellStyle name="red" xfId="335" xr:uid="{00000000-0005-0000-0000-0000FF010000}"/>
    <cellStyle name="s_HardInc " xfId="336" xr:uid="{00000000-0005-0000-0000-000000020000}"/>
    <cellStyle name="s_HardInc _ITC Great Plains Formula 1-12-09a" xfId="337" xr:uid="{00000000-0005-0000-0000-000001020000}"/>
    <cellStyle name="scenario" xfId="338" xr:uid="{00000000-0005-0000-0000-000002020000}"/>
    <cellStyle name="SECTION" xfId="339" xr:uid="{00000000-0005-0000-0000-000003020000}"/>
    <cellStyle name="Sheetmult" xfId="340" xr:uid="{00000000-0005-0000-0000-000004020000}"/>
    <cellStyle name="Shtmultx" xfId="341" xr:uid="{00000000-0005-0000-0000-000005020000}"/>
    <cellStyle name="Style 1" xfId="342" xr:uid="{00000000-0005-0000-0000-000006020000}"/>
    <cellStyle name="STYLE1" xfId="343" xr:uid="{00000000-0005-0000-0000-000007020000}"/>
    <cellStyle name="STYLE2" xfId="344" xr:uid="{00000000-0005-0000-0000-000008020000}"/>
    <cellStyle name="System Defined" xfId="345" xr:uid="{00000000-0005-0000-0000-000009020000}"/>
    <cellStyle name="TableHeading" xfId="346" xr:uid="{00000000-0005-0000-0000-00000A020000}"/>
    <cellStyle name="tb" xfId="347" xr:uid="{00000000-0005-0000-0000-00000B020000}"/>
    <cellStyle name="Tickmark" xfId="348" xr:uid="{00000000-0005-0000-0000-00000C020000}"/>
    <cellStyle name="Title1" xfId="349" xr:uid="{00000000-0005-0000-0000-00000D020000}"/>
    <cellStyle name="top" xfId="350" xr:uid="{00000000-0005-0000-0000-00000E020000}"/>
    <cellStyle name="Total" xfId="351" builtinId="25" customBuiltin="1"/>
    <cellStyle name="Total 2" xfId="563" xr:uid="{00000000-0005-0000-0000-00003E020000}"/>
    <cellStyle name="w" xfId="352" xr:uid="{00000000-0005-0000-0000-000010020000}"/>
    <cellStyle name="XComma" xfId="353" xr:uid="{00000000-0005-0000-0000-000011020000}"/>
    <cellStyle name="XComma 0.0" xfId="354" xr:uid="{00000000-0005-0000-0000-000012020000}"/>
    <cellStyle name="XComma 0.00" xfId="355" xr:uid="{00000000-0005-0000-0000-000013020000}"/>
    <cellStyle name="XComma 0.000" xfId="356" xr:uid="{00000000-0005-0000-0000-000014020000}"/>
    <cellStyle name="XCurrency" xfId="357" xr:uid="{00000000-0005-0000-0000-000015020000}"/>
    <cellStyle name="XCurrency 0.0" xfId="358" xr:uid="{00000000-0005-0000-0000-000016020000}"/>
    <cellStyle name="XCurrency 0.00" xfId="359" xr:uid="{00000000-0005-0000-0000-000017020000}"/>
    <cellStyle name="XCurrency 0.000" xfId="360" xr:uid="{00000000-0005-0000-0000-000018020000}"/>
    <cellStyle name="yra" xfId="361" xr:uid="{00000000-0005-0000-0000-000019020000}"/>
    <cellStyle name="yrActual" xfId="362" xr:uid="{00000000-0005-0000-0000-00001A020000}"/>
    <cellStyle name="yre" xfId="363" xr:uid="{00000000-0005-0000-0000-00001B020000}"/>
    <cellStyle name="yrExpect" xfId="364" xr:uid="{00000000-0005-0000-0000-00001C020000}"/>
  </cellStyles>
  <dxfs count="0"/>
  <tableStyles count="0" defaultTableStyle="TableStyleMedium2" defaultPivotStyle="PivotStyleLight16"/>
  <colors>
    <mruColors>
      <color rgb="FFFFFF99"/>
      <color rgb="FF00FF00"/>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tyles" Target="styles.xml"/><Relationship Id="rId35"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asterdat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WATER\WATE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00sy0\AppData\Local\Microsoft\Windows\Temporary%20Internet%20Files\Content.Outlook\7ENS6EE6\Formula%20December%202017%20True-up%20with%20Inter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BNW301\VOL5\STAFF\jdm\misc\2001%202Q\MERGER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BNW301\VOL5\STAFF\jdm\KMH\Merge\FERC%20Filing\FERC%20stmts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v_Req"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ATES/Revenue%20Policy/Transmission%20Formula%20Annual%20Updates/2020/2019%20True%20Up/2019%20Actual%20NITs%20Revenue%20Requirement%20to%20file%20in%20Ma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204"/>
      <sheetName val="222"/>
      <sheetName val="876"/>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und Amount Calculation"/>
      <sheetName val="Formula December 2017 True-up w"/>
    </sheetNames>
    <definedNames>
      <definedName name="DATAFEEDER" refersTo="#REF!"/>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nd qtr 2000"/>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CONSOLIDATING W ADJUSTMENTS"/>
      <sheetName val="Oct-00"/>
      <sheetName val="mktprice"/>
      <sheetName val="Assumptions"/>
      <sheetName val="State ETR Calc"/>
      <sheetName val="LineItem Data"/>
      <sheetName val="SETUP-Review"/>
    </sheetNames>
    <sheetDataSet>
      <sheetData sheetId="0" refreshError="1"/>
      <sheetData sheetId="1" refreshError="1">
        <row r="6">
          <cell r="A6" t="str">
            <v>UNAUDITED PROFORMA CONDENSED STATEMENT OF INCOME</v>
          </cell>
          <cell r="K6" t="str">
            <v>UNAUDITED PROFORMA CONDENSED STATEMENT OF INCOME</v>
          </cell>
          <cell r="V6" t="str">
            <v>UNAUDITED PRO FORMA COMBINED CONDENSED STATEMENT OF INCOME</v>
          </cell>
        </row>
        <row r="7">
          <cell r="A7" t="str">
            <v>(Millions Except Per Share Data)</v>
          </cell>
          <cell r="K7" t="str">
            <v>(Millions Except Per Share Data)</v>
          </cell>
          <cell r="V7" t="str">
            <v>(Millions Except Per Share Data)</v>
          </cell>
        </row>
        <row r="8">
          <cell r="A8" t="str">
            <v>FOR THE first six months ended June 30, 2000</v>
          </cell>
          <cell r="K8" t="str">
            <v>FOR THE first six months ended June 30, 2000</v>
          </cell>
          <cell r="V8" t="str">
            <v>FOR THE first six months ended June 30, 2000</v>
          </cell>
        </row>
        <row r="11">
          <cell r="I11" t="str">
            <v>PECO</v>
          </cell>
          <cell r="Y11" t="str">
            <v>PECO</v>
          </cell>
        </row>
        <row r="12">
          <cell r="D12" t="str">
            <v>PECO</v>
          </cell>
          <cell r="G12" t="str">
            <v>PECO Energy</v>
          </cell>
          <cell r="I12" t="str">
            <v>Energy</v>
          </cell>
          <cell r="P12" t="str">
            <v>UNICOM</v>
          </cell>
          <cell r="R12" t="str">
            <v>UNICOM</v>
          </cell>
          <cell r="T12" t="str">
            <v>UNICOM</v>
          </cell>
          <cell r="Y12" t="str">
            <v>Energy</v>
          </cell>
        </row>
        <row r="13">
          <cell r="D13" t="str">
            <v>Energy</v>
          </cell>
          <cell r="F13" t="str">
            <v xml:space="preserve">Chg in </v>
          </cell>
          <cell r="G13" t="str">
            <v>Transition Bond</v>
          </cell>
          <cell r="I13" t="str">
            <v>Prior to</v>
          </cell>
          <cell r="N13" t="str">
            <v>UNICOM</v>
          </cell>
          <cell r="P13" t="str">
            <v>Fossil Sale</v>
          </cell>
          <cell r="R13" t="str">
            <v>Share Buyback</v>
          </cell>
          <cell r="T13" t="str">
            <v>Prior to</v>
          </cell>
          <cell r="Y13" t="str">
            <v>Prior to</v>
          </cell>
          <cell r="AA13" t="str">
            <v>UNICOM</v>
          </cell>
          <cell r="AD13" t="str">
            <v>Merger</v>
          </cell>
          <cell r="AF13" t="str">
            <v>Merger</v>
          </cell>
        </row>
        <row r="14">
          <cell r="D14" t="str">
            <v>As</v>
          </cell>
          <cell r="F14" t="str">
            <v>Acct</v>
          </cell>
          <cell r="G14" t="str">
            <v>ProForma</v>
          </cell>
          <cell r="I14" t="str">
            <v>Merger</v>
          </cell>
          <cell r="N14" t="str">
            <v>As</v>
          </cell>
          <cell r="P14" t="str">
            <v>ProForma</v>
          </cell>
          <cell r="R14" t="str">
            <v>ProForma</v>
          </cell>
          <cell r="T14" t="str">
            <v>Merger</v>
          </cell>
          <cell r="Y14" t="str">
            <v>Merger</v>
          </cell>
          <cell r="AA14" t="str">
            <v>as</v>
          </cell>
          <cell r="AB14" t="str">
            <v>ComEd</v>
          </cell>
          <cell r="AD14" t="str">
            <v>Related</v>
          </cell>
          <cell r="AF14" t="str">
            <v>ProForma</v>
          </cell>
          <cell r="AH14" t="str">
            <v>Exelon</v>
          </cell>
        </row>
        <row r="15">
          <cell r="D15" t="str">
            <v>Filed</v>
          </cell>
          <cell r="E15" t="str">
            <v>Reclasses</v>
          </cell>
          <cell r="F15" t="str">
            <v>Princ</v>
          </cell>
          <cell r="G15" t="str">
            <v>Adjustments(1)</v>
          </cell>
          <cell r="I15" t="str">
            <v>ProForma</v>
          </cell>
          <cell r="N15" t="str">
            <v>Filed</v>
          </cell>
          <cell r="P15" t="str">
            <v>Adjustments(3)</v>
          </cell>
          <cell r="R15" t="str">
            <v>Adjustments(4)</v>
          </cell>
          <cell r="T15" t="str">
            <v>ProForma</v>
          </cell>
          <cell r="Y15" t="str">
            <v>ProForma</v>
          </cell>
          <cell r="AA15" t="str">
            <v>filed</v>
          </cell>
          <cell r="AB15" t="str">
            <v>Reclasses</v>
          </cell>
          <cell r="AD15" t="str">
            <v>Costs</v>
          </cell>
          <cell r="AF15" t="str">
            <v>Adjustments</v>
          </cell>
          <cell r="AH15" t="str">
            <v>ProForma</v>
          </cell>
        </row>
        <row r="16">
          <cell r="AD16" t="str">
            <v>UCM 25</v>
          </cell>
        </row>
        <row r="17">
          <cell r="A17" t="str">
            <v>Operating Revenues</v>
          </cell>
          <cell r="K17" t="str">
            <v>Operating Revenues</v>
          </cell>
          <cell r="V17" t="str">
            <v>Operating Revenues</v>
          </cell>
          <cell r="AD17" t="str">
            <v>PECO 20</v>
          </cell>
        </row>
        <row r="18">
          <cell r="B18" t="str">
            <v>Electric</v>
          </cell>
          <cell r="E18">
            <v>4</v>
          </cell>
          <cell r="F18">
            <v>0</v>
          </cell>
          <cell r="G18">
            <v>0</v>
          </cell>
          <cell r="I18">
            <v>4</v>
          </cell>
          <cell r="L18" t="str">
            <v>Electric</v>
          </cell>
          <cell r="N18">
            <v>3465</v>
          </cell>
          <cell r="P18">
            <v>0</v>
          </cell>
          <cell r="R18">
            <v>0</v>
          </cell>
          <cell r="T18">
            <v>3465</v>
          </cell>
          <cell r="W18" t="str">
            <v>Electric</v>
          </cell>
          <cell r="Y18">
            <v>4</v>
          </cell>
          <cell r="AA18">
            <v>3465</v>
          </cell>
          <cell r="AB18">
            <v>3</v>
          </cell>
          <cell r="AF18">
            <v>-14.047000000000001</v>
          </cell>
          <cell r="AH18">
            <v>3457.953</v>
          </cell>
        </row>
        <row r="19">
          <cell r="B19" t="str">
            <v>Gas</v>
          </cell>
          <cell r="D19">
            <v>2716</v>
          </cell>
          <cell r="E19">
            <v>6</v>
          </cell>
          <cell r="G19">
            <v>0</v>
          </cell>
          <cell r="I19">
            <v>2722</v>
          </cell>
          <cell r="L19" t="str">
            <v>Gas</v>
          </cell>
          <cell r="N19">
            <v>0</v>
          </cell>
          <cell r="P19">
            <v>0</v>
          </cell>
          <cell r="R19">
            <v>0</v>
          </cell>
          <cell r="T19">
            <v>0</v>
          </cell>
          <cell r="W19" t="str">
            <v>Gas</v>
          </cell>
          <cell r="Y19">
            <v>2722</v>
          </cell>
          <cell r="AA19">
            <v>0</v>
          </cell>
          <cell r="AB19">
            <v>0</v>
          </cell>
          <cell r="AD19">
            <v>0</v>
          </cell>
          <cell r="AF19">
            <v>0</v>
          </cell>
          <cell r="AH19">
            <v>2722</v>
          </cell>
        </row>
        <row r="20">
          <cell r="B20" t="str">
            <v xml:space="preserve">   Total Operating Revenues</v>
          </cell>
          <cell r="D20">
            <v>2716</v>
          </cell>
          <cell r="E20">
            <v>10</v>
          </cell>
          <cell r="F20">
            <v>0</v>
          </cell>
          <cell r="G20">
            <v>0</v>
          </cell>
          <cell r="I20">
            <v>2726</v>
          </cell>
          <cell r="L20" t="str">
            <v xml:space="preserve">   Total Operating Revenues</v>
          </cell>
          <cell r="N20">
            <v>3465</v>
          </cell>
          <cell r="P20">
            <v>0</v>
          </cell>
          <cell r="R20">
            <v>0</v>
          </cell>
          <cell r="T20">
            <v>3465</v>
          </cell>
          <cell r="W20" t="str">
            <v xml:space="preserve">   Total Operating Revenues</v>
          </cell>
          <cell r="Y20">
            <v>2726</v>
          </cell>
          <cell r="AA20">
            <v>3465</v>
          </cell>
          <cell r="AB20">
            <v>3</v>
          </cell>
          <cell r="AD20">
            <v>0</v>
          </cell>
          <cell r="AF20">
            <v>-14.047000000000001</v>
          </cell>
          <cell r="AH20">
            <v>6179.9529999999995</v>
          </cell>
        </row>
        <row r="22">
          <cell r="A22" t="str">
            <v>Operating Expenses</v>
          </cell>
          <cell r="K22" t="str">
            <v>Operating Expenses</v>
          </cell>
          <cell r="V22" t="str">
            <v>Operating Expenses</v>
          </cell>
        </row>
        <row r="23">
          <cell r="B23" t="str">
            <v>Fuel and Energy Interchange</v>
          </cell>
          <cell r="D23">
            <v>926</v>
          </cell>
          <cell r="E23">
            <v>6</v>
          </cell>
          <cell r="G23">
            <v>0</v>
          </cell>
          <cell r="I23">
            <v>932</v>
          </cell>
          <cell r="L23" t="str">
            <v>Fuel and Energy Interchange</v>
          </cell>
          <cell r="N23">
            <v>872</v>
          </cell>
          <cell r="P23">
            <v>0</v>
          </cell>
          <cell r="R23">
            <v>0</v>
          </cell>
          <cell r="T23">
            <v>872</v>
          </cell>
          <cell r="W23" t="str">
            <v>Fuel and Energy Interchange</v>
          </cell>
          <cell r="Y23">
            <v>932</v>
          </cell>
          <cell r="AA23">
            <v>872</v>
          </cell>
          <cell r="AF23">
            <v>-14.047000000000001</v>
          </cell>
          <cell r="AH23">
            <v>1789.953</v>
          </cell>
        </row>
        <row r="24">
          <cell r="B24" t="str">
            <v>Operation and Maintenance</v>
          </cell>
          <cell r="D24">
            <v>835</v>
          </cell>
          <cell r="E24">
            <v>10</v>
          </cell>
          <cell r="F24">
            <v>-5</v>
          </cell>
          <cell r="G24">
            <v>0</v>
          </cell>
          <cell r="I24">
            <v>840</v>
          </cell>
          <cell r="L24" t="str">
            <v>Operation and Maintenance</v>
          </cell>
          <cell r="N24">
            <v>1094</v>
          </cell>
          <cell r="P24">
            <v>0</v>
          </cell>
          <cell r="R24">
            <v>0</v>
          </cell>
          <cell r="T24">
            <v>1094</v>
          </cell>
          <cell r="W24" t="str">
            <v>Operation and Maintenance</v>
          </cell>
          <cell r="Y24">
            <v>840</v>
          </cell>
          <cell r="AA24">
            <v>1094</v>
          </cell>
          <cell r="AD24">
            <v>-45</v>
          </cell>
          <cell r="AF24">
            <v>22.9</v>
          </cell>
          <cell r="AH24">
            <v>1911.9</v>
          </cell>
        </row>
        <row r="25">
          <cell r="B25" t="str">
            <v>Depreciation and Amortization</v>
          </cell>
          <cell r="D25">
            <v>160</v>
          </cell>
          <cell r="E25">
            <v>0</v>
          </cell>
          <cell r="F25">
            <v>0</v>
          </cell>
          <cell r="G25">
            <v>0</v>
          </cell>
          <cell r="I25">
            <v>160</v>
          </cell>
          <cell r="L25" t="str">
            <v>Depreciation and Amortization</v>
          </cell>
          <cell r="N25">
            <v>601</v>
          </cell>
          <cell r="P25">
            <v>0</v>
          </cell>
          <cell r="R25">
            <v>0</v>
          </cell>
          <cell r="T25">
            <v>601</v>
          </cell>
          <cell r="W25" t="str">
            <v>Depreciation and Amortization</v>
          </cell>
          <cell r="Y25">
            <v>160</v>
          </cell>
          <cell r="AA25">
            <v>601</v>
          </cell>
          <cell r="AF25">
            <v>-110</v>
          </cell>
          <cell r="AH25">
            <v>651</v>
          </cell>
        </row>
        <row r="26">
          <cell r="B26" t="str">
            <v>Goodwill Amortization</v>
          </cell>
          <cell r="D26">
            <v>1</v>
          </cell>
          <cell r="E26">
            <v>0</v>
          </cell>
          <cell r="F26">
            <v>0</v>
          </cell>
          <cell r="G26">
            <v>0</v>
          </cell>
          <cell r="I26">
            <v>1</v>
          </cell>
          <cell r="L26" t="str">
            <v>Goodwill Amortization</v>
          </cell>
          <cell r="N26">
            <v>1</v>
          </cell>
          <cell r="P26">
            <v>0</v>
          </cell>
          <cell r="R26">
            <v>0</v>
          </cell>
          <cell r="T26">
            <v>1</v>
          </cell>
          <cell r="W26" t="str">
            <v>Goodwill Amortization</v>
          </cell>
          <cell r="Y26">
            <v>1</v>
          </cell>
          <cell r="AA26">
            <v>1</v>
          </cell>
          <cell r="AF26">
            <v>59.862498736856949</v>
          </cell>
          <cell r="AH26">
            <v>61.862498736856949</v>
          </cell>
        </row>
        <row r="27">
          <cell r="B27" t="str">
            <v>Taxes Other Than Income Taxes</v>
          </cell>
          <cell r="D27">
            <v>130</v>
          </cell>
          <cell r="E27">
            <v>0</v>
          </cell>
          <cell r="F27">
            <v>0</v>
          </cell>
          <cell r="G27">
            <v>0</v>
          </cell>
          <cell r="I27">
            <v>130</v>
          </cell>
          <cell r="L27" t="str">
            <v>Taxes Other Than Income Taxes</v>
          </cell>
          <cell r="N27">
            <v>268</v>
          </cell>
          <cell r="P27">
            <v>0</v>
          </cell>
          <cell r="R27">
            <v>0</v>
          </cell>
          <cell r="T27">
            <v>268</v>
          </cell>
          <cell r="W27" t="str">
            <v>Taxes Other Than Income Taxes</v>
          </cell>
          <cell r="Y27">
            <v>130</v>
          </cell>
          <cell r="AA27">
            <v>268</v>
          </cell>
          <cell r="AF27">
            <v>0</v>
          </cell>
          <cell r="AH27">
            <v>398</v>
          </cell>
        </row>
        <row r="28">
          <cell r="B28" t="str">
            <v xml:space="preserve">   Total Operating Expenses</v>
          </cell>
          <cell r="D28">
            <v>2052</v>
          </cell>
          <cell r="E28">
            <v>16</v>
          </cell>
          <cell r="F28">
            <v>-5</v>
          </cell>
          <cell r="G28">
            <v>0</v>
          </cell>
          <cell r="I28">
            <v>2063</v>
          </cell>
          <cell r="L28" t="str">
            <v xml:space="preserve">   Total Operating Expenses</v>
          </cell>
          <cell r="N28">
            <v>2836</v>
          </cell>
          <cell r="P28">
            <v>0</v>
          </cell>
          <cell r="R28">
            <v>0</v>
          </cell>
          <cell r="T28">
            <v>2836</v>
          </cell>
          <cell r="W28" t="str">
            <v xml:space="preserve">   Total Operating Expenses</v>
          </cell>
          <cell r="Y28">
            <v>2063</v>
          </cell>
          <cell r="AA28">
            <v>2836</v>
          </cell>
          <cell r="AB28">
            <v>0</v>
          </cell>
          <cell r="AD28">
            <v>-45</v>
          </cell>
          <cell r="AF28">
            <v>-41.284501263143056</v>
          </cell>
          <cell r="AH28">
            <v>4812.7154987368567</v>
          </cell>
        </row>
        <row r="29">
          <cell r="A29" t="str">
            <v xml:space="preserve">Operating Income </v>
          </cell>
          <cell r="D29">
            <v>664</v>
          </cell>
          <cell r="E29">
            <v>-6</v>
          </cell>
          <cell r="F29">
            <v>5</v>
          </cell>
          <cell r="G29">
            <v>0</v>
          </cell>
          <cell r="I29">
            <v>663</v>
          </cell>
          <cell r="K29" t="str">
            <v xml:space="preserve">Operating Income </v>
          </cell>
          <cell r="N29">
            <v>629</v>
          </cell>
          <cell r="P29">
            <v>0</v>
          </cell>
          <cell r="R29">
            <v>0</v>
          </cell>
          <cell r="T29">
            <v>629</v>
          </cell>
          <cell r="V29" t="str">
            <v xml:space="preserve">Operating Income </v>
          </cell>
          <cell r="Y29">
            <v>663</v>
          </cell>
          <cell r="AA29">
            <v>629</v>
          </cell>
          <cell r="AB29">
            <v>3</v>
          </cell>
          <cell r="AD29">
            <v>45</v>
          </cell>
          <cell r="AF29">
            <v>27.237501263143056</v>
          </cell>
          <cell r="AH29">
            <v>1367.2375012631428</v>
          </cell>
        </row>
        <row r="30">
          <cell r="A30" t="str">
            <v>Other Income and Deductions</v>
          </cell>
          <cell r="K30" t="str">
            <v>Other Income and Deductions</v>
          </cell>
          <cell r="V30" t="str">
            <v>Other Income and Deductions</v>
          </cell>
        </row>
        <row r="31">
          <cell r="B31" t="str">
            <v>Interest Expense</v>
          </cell>
          <cell r="D31">
            <v>-220</v>
          </cell>
          <cell r="G31">
            <v>-11.761926795666664</v>
          </cell>
          <cell r="I31">
            <v>-231.76192679566665</v>
          </cell>
          <cell r="L31" t="str">
            <v>Interest Expense</v>
          </cell>
          <cell r="N31">
            <v>-270</v>
          </cell>
          <cell r="P31">
            <v>0</v>
          </cell>
          <cell r="R31">
            <v>0</v>
          </cell>
          <cell r="T31">
            <v>-270</v>
          </cell>
          <cell r="W31" t="str">
            <v>Interest Expense</v>
          </cell>
          <cell r="Y31">
            <v>-231.76192679566665</v>
          </cell>
          <cell r="AA31">
            <v>-270</v>
          </cell>
          <cell r="AF31">
            <v>-11</v>
          </cell>
          <cell r="AH31">
            <v>-512.76192679566668</v>
          </cell>
        </row>
        <row r="32">
          <cell r="B32" t="str">
            <v>Pref Div</v>
          </cell>
          <cell r="D32">
            <v>-5</v>
          </cell>
          <cell r="E32">
            <v>0</v>
          </cell>
          <cell r="F32">
            <v>0</v>
          </cell>
          <cell r="G32">
            <v>0</v>
          </cell>
          <cell r="I32">
            <v>-5</v>
          </cell>
          <cell r="L32" t="str">
            <v>Pref Div</v>
          </cell>
          <cell r="N32">
            <v>-17</v>
          </cell>
          <cell r="P32">
            <v>0</v>
          </cell>
          <cell r="R32">
            <v>0</v>
          </cell>
          <cell r="T32">
            <v>-17</v>
          </cell>
          <cell r="W32" t="str">
            <v>Pref Div</v>
          </cell>
          <cell r="Y32">
            <v>-5</v>
          </cell>
          <cell r="AA32">
            <v>-17</v>
          </cell>
          <cell r="AF32">
            <v>-5</v>
          </cell>
          <cell r="AH32">
            <v>-27</v>
          </cell>
        </row>
        <row r="33">
          <cell r="B33" t="str">
            <v>Other, net</v>
          </cell>
          <cell r="D33">
            <v>24</v>
          </cell>
          <cell r="E33">
            <v>6</v>
          </cell>
          <cell r="I33">
            <v>30</v>
          </cell>
          <cell r="L33" t="str">
            <v>Other, net</v>
          </cell>
          <cell r="N33">
            <v>103</v>
          </cell>
          <cell r="P33">
            <v>0</v>
          </cell>
          <cell r="R33">
            <v>0</v>
          </cell>
          <cell r="T33">
            <v>103</v>
          </cell>
          <cell r="W33" t="str">
            <v>Other, net</v>
          </cell>
          <cell r="Y33">
            <v>30</v>
          </cell>
          <cell r="AA33">
            <v>103</v>
          </cell>
          <cell r="AB33">
            <v>-3</v>
          </cell>
          <cell r="AF33">
            <v>0</v>
          </cell>
          <cell r="AH33">
            <v>130</v>
          </cell>
        </row>
        <row r="34">
          <cell r="B34" t="str">
            <v xml:space="preserve">   Total Other Income and Deductions</v>
          </cell>
          <cell r="D34">
            <v>-201</v>
          </cell>
          <cell r="E34">
            <v>6</v>
          </cell>
          <cell r="F34">
            <v>0</v>
          </cell>
          <cell r="G34">
            <v>-11.761926795666664</v>
          </cell>
          <cell r="I34">
            <v>-206.76192679566665</v>
          </cell>
          <cell r="L34" t="str">
            <v xml:space="preserve">   Total Other Income and Deductions</v>
          </cell>
          <cell r="N34">
            <v>-184</v>
          </cell>
          <cell r="P34">
            <v>0</v>
          </cell>
          <cell r="R34">
            <v>0</v>
          </cell>
          <cell r="T34">
            <v>-184</v>
          </cell>
          <cell r="W34" t="str">
            <v xml:space="preserve">   Total Other Income and Deductions</v>
          </cell>
          <cell r="Y34">
            <v>-206.76192679566665</v>
          </cell>
          <cell r="AA34">
            <v>-184</v>
          </cell>
          <cell r="AB34">
            <v>-3</v>
          </cell>
          <cell r="AD34">
            <v>0</v>
          </cell>
          <cell r="AF34">
            <v>-16</v>
          </cell>
          <cell r="AH34">
            <v>-409.76192679566668</v>
          </cell>
        </row>
        <row r="36">
          <cell r="A36" t="str">
            <v>Income Before Income Taxes</v>
          </cell>
          <cell r="K36" t="str">
            <v>Income Before Income Taxes</v>
          </cell>
          <cell r="V36" t="str">
            <v>Income Before Income Taxes</v>
          </cell>
        </row>
        <row r="37">
          <cell r="A37" t="str">
            <v>and Extraordinary Item</v>
          </cell>
          <cell r="D37">
            <v>463</v>
          </cell>
          <cell r="E37">
            <v>0</v>
          </cell>
          <cell r="F37">
            <v>5</v>
          </cell>
          <cell r="G37">
            <v>-11.761926795666664</v>
          </cell>
          <cell r="I37">
            <v>456.23807320433332</v>
          </cell>
          <cell r="K37" t="str">
            <v>and Extraordinary Item</v>
          </cell>
          <cell r="N37">
            <v>445</v>
          </cell>
          <cell r="P37">
            <v>0</v>
          </cell>
          <cell r="R37">
            <v>0</v>
          </cell>
          <cell r="T37">
            <v>445</v>
          </cell>
          <cell r="V37" t="str">
            <v>and Extraordinary Item</v>
          </cell>
          <cell r="Y37">
            <v>456.23807320433332</v>
          </cell>
          <cell r="AA37">
            <v>445</v>
          </cell>
          <cell r="AB37">
            <v>0</v>
          </cell>
          <cell r="AD37">
            <v>45</v>
          </cell>
          <cell r="AF37">
            <v>11.237501263143056</v>
          </cell>
          <cell r="AH37">
            <v>957.47557446747612</v>
          </cell>
        </row>
        <row r="38">
          <cell r="A38" t="str">
            <v xml:space="preserve"> </v>
          </cell>
          <cell r="K38" t="str">
            <v xml:space="preserve"> </v>
          </cell>
          <cell r="V38" t="str">
            <v xml:space="preserve"> </v>
          </cell>
        </row>
        <row r="39">
          <cell r="A39" t="str">
            <v xml:space="preserve">Income Tax Expense </v>
          </cell>
          <cell r="D39">
            <v>174</v>
          </cell>
          <cell r="F39">
            <v>2</v>
          </cell>
          <cell r="G39">
            <v>-4.7047707182666656</v>
          </cell>
          <cell r="I39">
            <v>171.29522928173333</v>
          </cell>
          <cell r="K39" t="str">
            <v xml:space="preserve">Income Tax Expense </v>
          </cell>
          <cell r="N39">
            <v>102</v>
          </cell>
          <cell r="P39">
            <v>0</v>
          </cell>
          <cell r="R39">
            <v>0</v>
          </cell>
          <cell r="T39">
            <v>102</v>
          </cell>
          <cell r="V39" t="str">
            <v xml:space="preserve">Income Tax Expense </v>
          </cell>
          <cell r="Y39">
            <v>171.29522928173333</v>
          </cell>
          <cell r="AA39">
            <v>102</v>
          </cell>
          <cell r="AB39">
            <v>0</v>
          </cell>
          <cell r="AD39">
            <v>18</v>
          </cell>
          <cell r="AF39">
            <v>38.095820000000003</v>
          </cell>
          <cell r="AH39">
            <v>329.39104928173333</v>
          </cell>
        </row>
        <row r="40">
          <cell r="A40" t="str">
            <v>Income Before Extraordinary Item</v>
          </cell>
          <cell r="D40">
            <v>289</v>
          </cell>
          <cell r="E40">
            <v>0</v>
          </cell>
          <cell r="F40">
            <v>3</v>
          </cell>
          <cell r="G40">
            <v>-7.0571560773999984</v>
          </cell>
          <cell r="I40">
            <v>284.94284392259999</v>
          </cell>
          <cell r="K40" t="str">
            <v>Income Before Extraordinary Item</v>
          </cell>
          <cell r="N40">
            <v>343</v>
          </cell>
          <cell r="P40">
            <v>0</v>
          </cell>
          <cell r="R40">
            <v>0</v>
          </cell>
          <cell r="T40">
            <v>343</v>
          </cell>
          <cell r="V40" t="str">
            <v>Income Before Extraordinary Item</v>
          </cell>
          <cell r="Y40">
            <v>284.94284392259999</v>
          </cell>
          <cell r="AA40">
            <v>343</v>
          </cell>
          <cell r="AB40">
            <v>0</v>
          </cell>
          <cell r="AD40">
            <v>27</v>
          </cell>
          <cell r="AF40">
            <v>-26.858318736856948</v>
          </cell>
          <cell r="AH40">
            <v>628.08452518574279</v>
          </cell>
        </row>
        <row r="41">
          <cell r="B41" t="str">
            <v>Extraordinary</v>
          </cell>
          <cell r="D41">
            <v>-3</v>
          </cell>
          <cell r="I41">
            <v>-3</v>
          </cell>
          <cell r="W41" t="str">
            <v>PECO Extraordinary</v>
          </cell>
          <cell r="Y41">
            <v>-3</v>
          </cell>
          <cell r="AH41">
            <v>-3</v>
          </cell>
        </row>
        <row r="42">
          <cell r="W42" t="str">
            <v>PECO chg in acct prin ($22 million pre tax)( not needed for proforma purposes)</v>
          </cell>
        </row>
        <row r="43">
          <cell r="L43" t="str">
            <v>Extraordinary</v>
          </cell>
          <cell r="N43">
            <v>-4</v>
          </cell>
          <cell r="W43" t="str">
            <v>ComEd Extraordinary</v>
          </cell>
          <cell r="AA43">
            <v>-4</v>
          </cell>
          <cell r="AH43">
            <v>-4</v>
          </cell>
        </row>
        <row r="44">
          <cell r="W44" t="str">
            <v>Net Income</v>
          </cell>
          <cell r="Y44">
            <v>281.94284392259999</v>
          </cell>
          <cell r="AA44">
            <v>339</v>
          </cell>
          <cell r="AB44">
            <v>0</v>
          </cell>
          <cell r="AD44">
            <v>27</v>
          </cell>
          <cell r="AF44">
            <v>-26.858318736856948</v>
          </cell>
          <cell r="AH44">
            <v>621.08452518574279</v>
          </cell>
        </row>
        <row r="45">
          <cell r="A45" t="str">
            <v>Preferred Stock Dividend</v>
          </cell>
          <cell r="D45">
            <v>5</v>
          </cell>
          <cell r="I45">
            <v>5</v>
          </cell>
          <cell r="V45" t="str">
            <v>Pref Dividend</v>
          </cell>
          <cell r="Y45">
            <v>5</v>
          </cell>
          <cell r="AF45">
            <v>-5</v>
          </cell>
          <cell r="AH45">
            <v>0</v>
          </cell>
        </row>
        <row r="46">
          <cell r="B46" t="str">
            <v>Net Income on Common</v>
          </cell>
          <cell r="D46">
            <v>281</v>
          </cell>
          <cell r="W46" t="str">
            <v>Net Income on Common</v>
          </cell>
          <cell r="Y46">
            <v>276.94284392259999</v>
          </cell>
          <cell r="AA46">
            <v>339</v>
          </cell>
          <cell r="AB46">
            <v>0</v>
          </cell>
          <cell r="AD46">
            <v>27</v>
          </cell>
          <cell r="AF46">
            <v>-21.858318736856948</v>
          </cell>
          <cell r="AH46">
            <v>621.08452518574279</v>
          </cell>
        </row>
        <row r="48">
          <cell r="V48" t="str">
            <v>Income Before Extraordinary</v>
          </cell>
        </row>
        <row r="49">
          <cell r="A49" t="str">
            <v>Income Before Extraordinary</v>
          </cell>
          <cell r="K49" t="str">
            <v>Income Before Extraordinary</v>
          </cell>
          <cell r="T49" t="str">
            <v>info only</v>
          </cell>
          <cell r="V49" t="str">
            <v xml:space="preserve">   Item per Share</v>
          </cell>
          <cell r="AH49">
            <v>1.9469734331841466</v>
          </cell>
        </row>
        <row r="50">
          <cell r="A50" t="str">
            <v xml:space="preserve">   Item per Share</v>
          </cell>
          <cell r="D50" t="e">
            <v>#DIV/0!</v>
          </cell>
          <cell r="K50" t="str">
            <v xml:space="preserve">   Item per Share</v>
          </cell>
          <cell r="N50">
            <v>1.578462954440865</v>
          </cell>
          <cell r="T50">
            <v>1.7929952953476214</v>
          </cell>
        </row>
        <row r="51">
          <cell r="V51" t="str">
            <v>Income Before Extraordinary</v>
          </cell>
        </row>
        <row r="52">
          <cell r="A52" t="str">
            <v>Income Before Extraordinary</v>
          </cell>
          <cell r="K52" t="str">
            <v>Income Before Extraordinary</v>
          </cell>
          <cell r="V52" t="str">
            <v xml:space="preserve">   Item per Share - Diluted</v>
          </cell>
          <cell r="AH52">
            <v>1.9348427575879839</v>
          </cell>
        </row>
        <row r="53">
          <cell r="A53" t="str">
            <v xml:space="preserve">   Item per Share - Diluted</v>
          </cell>
          <cell r="D53" t="e">
            <v>#DIV/0!</v>
          </cell>
          <cell r="K53" t="str">
            <v xml:space="preserve">   Item per Share - Diluted</v>
          </cell>
          <cell r="N53">
            <v>1.5729615702100339</v>
          </cell>
        </row>
        <row r="54">
          <cell r="V54" t="str">
            <v>Average Basic Shares Outstanding</v>
          </cell>
          <cell r="AH54">
            <v>319</v>
          </cell>
        </row>
        <row r="55">
          <cell r="A55" t="str">
            <v>Average Basic Shares Outstanding</v>
          </cell>
          <cell r="K55" t="str">
            <v>Average Basic Shares Outstanding</v>
          </cell>
          <cell r="N55">
            <v>217.3</v>
          </cell>
          <cell r="T55">
            <v>191.3</v>
          </cell>
        </row>
        <row r="56">
          <cell r="V56" t="str">
            <v>Average Diluted Shares Outstanding</v>
          </cell>
          <cell r="AH56">
            <v>321</v>
          </cell>
        </row>
        <row r="57">
          <cell r="A57" t="str">
            <v>Average Diluted Shares Outstanding</v>
          </cell>
          <cell r="K57" t="str">
            <v>Average Diluted Shares Outstanding</v>
          </cell>
          <cell r="N57">
            <v>218.06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row r="1">
          <cell r="I1" t="str">
            <v>Inc/(dec)</v>
          </cell>
          <cell r="J1" t="str">
            <v>Inc/(dec)</v>
          </cell>
          <cell r="L1" t="str">
            <v>Premium/</v>
          </cell>
        </row>
        <row r="2">
          <cell r="C2" t="str">
            <v>Shares</v>
          </cell>
          <cell r="D2" t="str">
            <v>Principal</v>
          </cell>
          <cell r="I2" t="str">
            <v>in Interest</v>
          </cell>
          <cell r="J2" t="str">
            <v>in Div's</v>
          </cell>
          <cell r="L2" t="str">
            <v>Fees</v>
          </cell>
          <cell r="N2" t="str">
            <v>Cash</v>
          </cell>
          <cell r="O2" t="str">
            <v>Interest</v>
          </cell>
        </row>
        <row r="3">
          <cell r="B3" t="str">
            <v>Issue</v>
          </cell>
          <cell r="C3" t="str">
            <v>in millions</v>
          </cell>
          <cell r="D3" t="str">
            <v>in millions</v>
          </cell>
          <cell r="I3" t="str">
            <v>in millions</v>
          </cell>
          <cell r="J3" t="str">
            <v>in millions</v>
          </cell>
          <cell r="L3" t="str">
            <v>in millions</v>
          </cell>
          <cell r="N3" t="str">
            <v>Balance</v>
          </cell>
          <cell r="O3" t="str">
            <v>Income</v>
          </cell>
        </row>
        <row r="4">
          <cell r="B4" t="str">
            <v>Initial Proceeds</v>
          </cell>
          <cell r="D4">
            <v>3400</v>
          </cell>
          <cell r="F4">
            <v>5.5800000000000002E-2</v>
          </cell>
          <cell r="I4">
            <v>189.72</v>
          </cell>
          <cell r="L4">
            <v>-40</v>
          </cell>
          <cell r="N4">
            <v>3360</v>
          </cell>
        </row>
        <row r="5">
          <cell r="I5">
            <v>0</v>
          </cell>
        </row>
        <row r="6">
          <cell r="B6" t="str">
            <v>CP</v>
          </cell>
          <cell r="D6">
            <v>-272</v>
          </cell>
          <cell r="F6">
            <v>5.1999999999999998E-2</v>
          </cell>
          <cell r="I6">
            <v>-14.144</v>
          </cell>
          <cell r="K6" t="str">
            <v>$43 was originally used in the 8-K</v>
          </cell>
          <cell r="N6">
            <v>3088</v>
          </cell>
        </row>
        <row r="7">
          <cell r="A7" t="str">
            <v>6M shares</v>
          </cell>
          <cell r="B7" t="str">
            <v>Common(1)</v>
          </cell>
          <cell r="D7">
            <v>-230</v>
          </cell>
          <cell r="I7">
            <v>0</v>
          </cell>
          <cell r="K7" t="str">
            <v xml:space="preserve">the amount calc's to $66.5.  What </v>
          </cell>
          <cell r="N7">
            <v>2858</v>
          </cell>
        </row>
        <row r="8">
          <cell r="B8" t="str">
            <v>CP</v>
          </cell>
          <cell r="D8">
            <v>-106.4</v>
          </cell>
          <cell r="F8">
            <v>5.6500000000000002E-2</v>
          </cell>
          <cell r="I8">
            <v>-6.0116000000000005</v>
          </cell>
          <cell r="K8" t="str">
            <v>is the difference?</v>
          </cell>
          <cell r="N8">
            <v>2751.6</v>
          </cell>
        </row>
        <row r="9">
          <cell r="B9" t="str">
            <v>CP</v>
          </cell>
          <cell r="D9">
            <v>-47.3</v>
          </cell>
          <cell r="F9">
            <v>6.2199999999999998E-2</v>
          </cell>
          <cell r="I9">
            <v>-2.9420599999999997</v>
          </cell>
          <cell r="N9">
            <v>2704.2999999999997</v>
          </cell>
        </row>
        <row r="10">
          <cell r="B10" t="str">
            <v>Pref</v>
          </cell>
          <cell r="C10">
            <v>11.519894000000001</v>
          </cell>
          <cell r="D10">
            <v>-534.20000000000005</v>
          </cell>
          <cell r="G10">
            <v>5.78</v>
          </cell>
          <cell r="I10">
            <v>0</v>
          </cell>
          <cell r="J10">
            <v>-43</v>
          </cell>
          <cell r="L10">
            <v>-5.9</v>
          </cell>
          <cell r="N10">
            <v>2164.1999999999994</v>
          </cell>
        </row>
        <row r="11">
          <cell r="B11" t="str">
            <v>LTD</v>
          </cell>
          <cell r="D11">
            <v>-730</v>
          </cell>
          <cell r="F11">
            <v>8.2199999999999995E-2</v>
          </cell>
          <cell r="I11">
            <v>-60.005999999999993</v>
          </cell>
          <cell r="L11">
            <v>-18.5</v>
          </cell>
          <cell r="N11">
            <v>1415.6999999999994</v>
          </cell>
        </row>
        <row r="12">
          <cell r="B12" t="str">
            <v>LTD</v>
          </cell>
          <cell r="D12">
            <v>-30.3</v>
          </cell>
          <cell r="F12">
            <v>9.3799999999999994E-2</v>
          </cell>
          <cell r="I12">
            <v>-2.8421400000000001</v>
          </cell>
          <cell r="L12">
            <v>-1.4</v>
          </cell>
          <cell r="N12">
            <v>1383.9999999999993</v>
          </cell>
        </row>
        <row r="13">
          <cell r="A13">
            <v>36187</v>
          </cell>
          <cell r="B13" t="str">
            <v>Common</v>
          </cell>
          <cell r="D13">
            <v>-6.8</v>
          </cell>
          <cell r="I13">
            <v>0</v>
          </cell>
          <cell r="N13">
            <v>1377.1999999999994</v>
          </cell>
        </row>
        <row r="14">
          <cell r="A14" t="str">
            <v>Forward</v>
          </cell>
          <cell r="B14" t="str">
            <v>Common</v>
          </cell>
          <cell r="D14">
            <v>-495</v>
          </cell>
          <cell r="I14">
            <v>0</v>
          </cell>
          <cell r="N14">
            <v>882.19999999999936</v>
          </cell>
        </row>
        <row r="15">
          <cell r="B15" t="str">
            <v>LTD</v>
          </cell>
          <cell r="D15">
            <v>-198.9</v>
          </cell>
          <cell r="F15">
            <v>9.6500000000000002E-2</v>
          </cell>
          <cell r="I15">
            <v>-19.193850000000001</v>
          </cell>
          <cell r="L15">
            <v>-15</v>
          </cell>
          <cell r="N15">
            <v>668.29999999999939</v>
          </cell>
        </row>
        <row r="16">
          <cell r="B16" t="str">
            <v>CP</v>
          </cell>
          <cell r="D16">
            <v>-65</v>
          </cell>
          <cell r="F16">
            <v>6.2E-2</v>
          </cell>
          <cell r="I16">
            <v>-4.03</v>
          </cell>
          <cell r="N16">
            <v>603.29999999999939</v>
          </cell>
        </row>
        <row r="17">
          <cell r="B17" t="str">
            <v>LTD</v>
          </cell>
          <cell r="D17">
            <v>-58</v>
          </cell>
          <cell r="F17">
            <v>7.6300000000000007E-2</v>
          </cell>
          <cell r="I17">
            <v>-4.4254000000000007</v>
          </cell>
          <cell r="L17">
            <v>-0.06</v>
          </cell>
          <cell r="N17">
            <v>545.23999999999944</v>
          </cell>
        </row>
        <row r="18">
          <cell r="B18" t="str">
            <v>CP</v>
          </cell>
          <cell r="D18">
            <v>-9.3000000000000007</v>
          </cell>
          <cell r="F18">
            <v>6.13E-2</v>
          </cell>
          <cell r="I18">
            <v>-0.5700900000000001</v>
          </cell>
          <cell r="N18">
            <v>535.93999999999949</v>
          </cell>
        </row>
        <row r="19">
          <cell r="A19" t="str">
            <v>March</v>
          </cell>
          <cell r="B19" t="str">
            <v>Common</v>
          </cell>
          <cell r="D19">
            <v>-186.90000000000003</v>
          </cell>
          <cell r="I19">
            <v>0</v>
          </cell>
          <cell r="N19">
            <v>349.03999999999945</v>
          </cell>
        </row>
        <row r="20">
          <cell r="B20" t="str">
            <v>LTD</v>
          </cell>
          <cell r="D20">
            <v>-0.1</v>
          </cell>
          <cell r="F20">
            <v>9.4100000000000003E-2</v>
          </cell>
          <cell r="I20">
            <v>-9.4100000000000017E-3</v>
          </cell>
          <cell r="L20">
            <v>-4.0999999999999996</v>
          </cell>
          <cell r="N20">
            <v>344.83999999999941</v>
          </cell>
        </row>
        <row r="21">
          <cell r="B21" t="str">
            <v>Pref</v>
          </cell>
          <cell r="C21">
            <v>3</v>
          </cell>
          <cell r="D21">
            <v>-75</v>
          </cell>
          <cell r="G21">
            <v>2.4300000000000002</v>
          </cell>
          <cell r="I21">
            <v>0</v>
          </cell>
          <cell r="J21">
            <v>-7.2900000000000009</v>
          </cell>
          <cell r="L21">
            <v>-2.2999999999999998</v>
          </cell>
          <cell r="N21">
            <v>267.5399999999994</v>
          </cell>
        </row>
        <row r="22">
          <cell r="N22">
            <v>267.5399999999994</v>
          </cell>
        </row>
        <row r="23">
          <cell r="B23" t="str">
            <v>Seaway Loan</v>
          </cell>
          <cell r="D23">
            <v>-3.6</v>
          </cell>
          <cell r="F23">
            <v>-0.08</v>
          </cell>
          <cell r="I23">
            <v>0.28800000000000003</v>
          </cell>
          <cell r="N23">
            <v>263.93999999999937</v>
          </cell>
        </row>
        <row r="24">
          <cell r="B24" t="str">
            <v>MTN</v>
          </cell>
          <cell r="D24">
            <v>-140</v>
          </cell>
          <cell r="F24">
            <v>9.0423214285714273E-2</v>
          </cell>
          <cell r="I24">
            <v>-12.659249999999998</v>
          </cell>
          <cell r="L24">
            <v>0</v>
          </cell>
          <cell r="N24">
            <v>123.93999999999937</v>
          </cell>
        </row>
        <row r="25">
          <cell r="O25">
            <v>4.4999999999999998E-2</v>
          </cell>
        </row>
        <row r="26">
          <cell r="B26" t="str">
            <v>Balance</v>
          </cell>
          <cell r="D26">
            <v>211.19999999999953</v>
          </cell>
          <cell r="I26">
            <v>63.174200000000013</v>
          </cell>
          <cell r="J26">
            <v>-50.29</v>
          </cell>
          <cell r="L26">
            <v>-87.26</v>
          </cell>
          <cell r="O26">
            <v>5.5772999999999717</v>
          </cell>
        </row>
        <row r="28">
          <cell r="B28" t="str">
            <v>Fees</v>
          </cell>
          <cell r="D28">
            <v>-87.26</v>
          </cell>
        </row>
        <row r="29">
          <cell r="D29">
            <v>123.93999999999953</v>
          </cell>
        </row>
        <row r="31">
          <cell r="B31" t="str">
            <v>Addback items which</v>
          </cell>
        </row>
        <row r="32">
          <cell r="B32" t="str">
            <v xml:space="preserve">have not happen through </v>
          </cell>
        </row>
        <row r="33">
          <cell r="B33" t="str">
            <v>September 30, 1999</v>
          </cell>
        </row>
        <row r="34">
          <cell r="B34" t="str">
            <v>Common(1)</v>
          </cell>
          <cell r="D34">
            <v>230</v>
          </cell>
        </row>
        <row r="35">
          <cell r="B35" t="str">
            <v>MTN</v>
          </cell>
          <cell r="D35">
            <v>140</v>
          </cell>
        </row>
        <row r="36">
          <cell r="D36">
            <v>493.93999999999954</v>
          </cell>
          <cell r="E36" t="str">
            <v>Ana, I believe this should be the $496M we discussed on the phone.</v>
          </cell>
        </row>
        <row r="37">
          <cell r="E37" t="str">
            <v>Do you know what the difference is?</v>
          </cell>
        </row>
        <row r="39">
          <cell r="A39" t="str">
            <v>"(1)  represents estimate of additional shares to be repurchases due to merger other than the $750M.</v>
          </cell>
        </row>
        <row r="43">
          <cell r="A43" t="str">
            <v>PER INFORMATION ABOVE</v>
          </cell>
        </row>
        <row r="44">
          <cell r="A44" t="str">
            <v>Income Statement Impact</v>
          </cell>
          <cell r="D44" t="str">
            <v>Int Exp/Inc</v>
          </cell>
          <cell r="F44" t="str">
            <v>Fees</v>
          </cell>
          <cell r="H44" t="str">
            <v>Total</v>
          </cell>
        </row>
        <row r="45">
          <cell r="A45" t="str">
            <v>Fees and Premiums</v>
          </cell>
          <cell r="F45">
            <v>39.06</v>
          </cell>
          <cell r="H45">
            <v>39.06</v>
          </cell>
        </row>
        <row r="46">
          <cell r="A46" t="str">
            <v>Increased Interest Expense</v>
          </cell>
          <cell r="D46">
            <v>63.174200000000013</v>
          </cell>
          <cell r="H46">
            <v>63.174200000000013</v>
          </cell>
        </row>
        <row r="47">
          <cell r="A47" t="str">
            <v>Increase Interest Income</v>
          </cell>
          <cell r="D47">
            <v>5.5772999999999717</v>
          </cell>
          <cell r="H47">
            <v>5.5772999999999717</v>
          </cell>
        </row>
        <row r="48">
          <cell r="A48" t="str">
            <v>Change to Taxable Income</v>
          </cell>
          <cell r="D48">
            <v>-57.596900000000041</v>
          </cell>
          <cell r="F48">
            <v>-39.06</v>
          </cell>
          <cell r="H48">
            <v>-96.656900000000036</v>
          </cell>
        </row>
        <row r="49">
          <cell r="A49" t="str">
            <v>Change to income taxes(fed)</v>
          </cell>
          <cell r="D49">
            <v>18.742031260000015</v>
          </cell>
          <cell r="E49">
            <v>0.32540000000000002</v>
          </cell>
          <cell r="F49">
            <v>12.710124000000002</v>
          </cell>
          <cell r="H49">
            <v>31.452155260000019</v>
          </cell>
        </row>
        <row r="50">
          <cell r="A50" t="str">
            <v>Change to income taxes(State)</v>
          </cell>
          <cell r="D50">
            <v>4.0433023800000027</v>
          </cell>
          <cell r="E50">
            <v>7.0199999999999999E-2</v>
          </cell>
          <cell r="F50">
            <v>2.7420119999999999</v>
          </cell>
          <cell r="H50">
            <v>6.7853143800000026</v>
          </cell>
        </row>
        <row r="51">
          <cell r="A51" t="str">
            <v>Incr/(decr) to income</v>
          </cell>
          <cell r="D51">
            <v>-34.811566360000029</v>
          </cell>
          <cell r="F51">
            <v>-23.607864000000003</v>
          </cell>
          <cell r="H51">
            <v>-58.419430360000035</v>
          </cell>
        </row>
        <row r="52">
          <cell r="A52" t="str">
            <v>Decrease Pref Div</v>
          </cell>
          <cell r="D52">
            <v>50.29</v>
          </cell>
          <cell r="F52">
            <v>-8.1999999999999993</v>
          </cell>
          <cell r="H52">
            <v>42.09</v>
          </cell>
        </row>
        <row r="53">
          <cell r="A53" t="str">
            <v xml:space="preserve">Incr/(decr) to inc to common </v>
          </cell>
          <cell r="D53">
            <v>15.47843363999997</v>
          </cell>
          <cell r="H53">
            <v>-16.329430360000032</v>
          </cell>
        </row>
        <row r="55">
          <cell r="A55" t="str">
            <v xml:space="preserve">USE FOR PRESENTATION PURPOSES </v>
          </cell>
        </row>
        <row r="56">
          <cell r="A56" t="str">
            <v>Income Statement Impact</v>
          </cell>
          <cell r="D56" t="str">
            <v>Int Exp/Inc</v>
          </cell>
          <cell r="F56" t="str">
            <v>Fees</v>
          </cell>
          <cell r="H56" t="str">
            <v>Total</v>
          </cell>
        </row>
        <row r="57">
          <cell r="A57" t="str">
            <v>Fees and Premiums</v>
          </cell>
          <cell r="F57">
            <v>45.6</v>
          </cell>
          <cell r="G57" t="str">
            <v>(1)</v>
          </cell>
          <cell r="H57">
            <v>45.6</v>
          </cell>
          <cell r="J57" t="str">
            <v>(1)  use per trial balance extraordinary item, for FERc reporting use account 426</v>
          </cell>
        </row>
        <row r="58">
          <cell r="A58" t="str">
            <v>Increased Interest Expense</v>
          </cell>
          <cell r="D58">
            <v>63.174200000000013</v>
          </cell>
          <cell r="H58">
            <v>63.174200000000013</v>
          </cell>
        </row>
        <row r="59">
          <cell r="A59" t="str">
            <v>Increase Interest Income</v>
          </cell>
          <cell r="D59">
            <v>5.5772999999999717</v>
          </cell>
          <cell r="H59">
            <v>5.5772999999999717</v>
          </cell>
          <cell r="J59" t="str">
            <v>Note: the format for FERC Form 1 reporting does not include provision</v>
          </cell>
        </row>
        <row r="60">
          <cell r="A60" t="str">
            <v>Change to Taxable Income</v>
          </cell>
          <cell r="D60">
            <v>-57.596900000000041</v>
          </cell>
          <cell r="F60">
            <v>-45.6</v>
          </cell>
          <cell r="H60">
            <v>-103.19690000000004</v>
          </cell>
          <cell r="J60" t="str">
            <v>for pref dividends.  Any item affecting the provision is not reflected</v>
          </cell>
        </row>
        <row r="61">
          <cell r="A61" t="str">
            <v>Change to income taxes(fed)</v>
          </cell>
          <cell r="D61">
            <v>18.742031260000015</v>
          </cell>
          <cell r="E61">
            <v>0.32540000000000002</v>
          </cell>
          <cell r="F61">
            <v>14.838240000000001</v>
          </cell>
          <cell r="H61">
            <v>33.580271260000018</v>
          </cell>
          <cell r="J61" t="str">
            <v>in the incomestatement for this filing.</v>
          </cell>
        </row>
        <row r="62">
          <cell r="A62" t="str">
            <v>Change to income taxes(State)</v>
          </cell>
          <cell r="D62">
            <v>4.0433023800000027</v>
          </cell>
          <cell r="E62">
            <v>7.0199999999999999E-2</v>
          </cell>
          <cell r="F62">
            <v>3.20112</v>
          </cell>
          <cell r="H62">
            <v>7.2444223800000032</v>
          </cell>
        </row>
        <row r="63">
          <cell r="A63" t="str">
            <v>Incr/(decr) to income</v>
          </cell>
          <cell r="D63">
            <v>-34.811566360000029</v>
          </cell>
          <cell r="F63">
            <v>-27.560640000000003</v>
          </cell>
          <cell r="H63">
            <v>-62.372206360000035</v>
          </cell>
        </row>
        <row r="64">
          <cell r="A64" t="str">
            <v>Decrease Pref Div</v>
          </cell>
          <cell r="D64">
            <v>50.29</v>
          </cell>
          <cell r="F64">
            <v>-12.3</v>
          </cell>
          <cell r="G64" t="str">
            <v>(2)</v>
          </cell>
          <cell r="H64">
            <v>37.989999999999995</v>
          </cell>
          <cell r="J64" t="str">
            <v>(2)  per Trial balance account 216051</v>
          </cell>
        </row>
        <row r="65">
          <cell r="A65" t="str">
            <v xml:space="preserve">Incr/(decr) to inc to common </v>
          </cell>
          <cell r="D65">
            <v>15.47843363999997</v>
          </cell>
          <cell r="H65">
            <v>-24.38220636000004</v>
          </cell>
        </row>
        <row r="68">
          <cell r="D68" t="str">
            <v>Total from above</v>
          </cell>
          <cell r="H68" t="str">
            <v>Actually Used in 1998</v>
          </cell>
          <cell r="L68" t="str">
            <v>Proceeds used after 1998</v>
          </cell>
          <cell r="O68" t="str">
            <v>Use these #'s for presentation purposes</v>
          </cell>
        </row>
        <row r="69">
          <cell r="C69" t="str">
            <v>Principal</v>
          </cell>
          <cell r="D69" t="str">
            <v>Fees</v>
          </cell>
          <cell r="E69" t="str">
            <v>Total</v>
          </cell>
          <cell r="G69" t="str">
            <v>Principal</v>
          </cell>
          <cell r="H69" t="str">
            <v>Fees</v>
          </cell>
          <cell r="I69" t="str">
            <v>Total</v>
          </cell>
          <cell r="K69" t="str">
            <v>Principal</v>
          </cell>
          <cell r="L69" t="str">
            <v>Fees</v>
          </cell>
          <cell r="M69" t="str">
            <v>Total</v>
          </cell>
          <cell r="O69" t="str">
            <v>Principal</v>
          </cell>
          <cell r="Q69" t="str">
            <v>Fees</v>
          </cell>
          <cell r="R69" t="str">
            <v>Total</v>
          </cell>
        </row>
        <row r="70">
          <cell r="A70" t="str">
            <v>CP</v>
          </cell>
          <cell r="C70">
            <v>-500</v>
          </cell>
          <cell r="D70">
            <v>0</v>
          </cell>
          <cell r="E70">
            <v>-500</v>
          </cell>
          <cell r="G70">
            <v>-332</v>
          </cell>
          <cell r="I70">
            <v>-332</v>
          </cell>
          <cell r="K70">
            <v>-168</v>
          </cell>
          <cell r="L70">
            <v>0</v>
          </cell>
          <cell r="M70">
            <v>-168</v>
          </cell>
          <cell r="O70">
            <v>-168</v>
          </cell>
          <cell r="Q70">
            <v>0</v>
          </cell>
          <cell r="R70">
            <v>-168</v>
          </cell>
        </row>
        <row r="71">
          <cell r="A71" t="str">
            <v>Common</v>
          </cell>
          <cell r="C71">
            <v>-918.7</v>
          </cell>
          <cell r="D71">
            <v>0</v>
          </cell>
          <cell r="E71">
            <v>-918.7</v>
          </cell>
          <cell r="G71">
            <v>0</v>
          </cell>
          <cell r="H71">
            <v>0</v>
          </cell>
          <cell r="I71">
            <v>0</v>
          </cell>
          <cell r="K71">
            <v>-918.7</v>
          </cell>
          <cell r="L71">
            <v>0</v>
          </cell>
          <cell r="M71">
            <v>-918.7</v>
          </cell>
          <cell r="O71">
            <v>-1020.973024</v>
          </cell>
          <cell r="P71" t="str">
            <v xml:space="preserve">(3)  </v>
          </cell>
          <cell r="Q71">
            <v>0</v>
          </cell>
          <cell r="R71">
            <v>-1021</v>
          </cell>
        </row>
        <row r="72">
          <cell r="A72" t="str">
            <v>LTD</v>
          </cell>
          <cell r="C72">
            <v>-1160.9000000000001</v>
          </cell>
          <cell r="D72">
            <v>-39.06</v>
          </cell>
          <cell r="E72">
            <v>-1199.96</v>
          </cell>
          <cell r="G72">
            <v>0</v>
          </cell>
          <cell r="I72">
            <v>0</v>
          </cell>
          <cell r="K72">
            <v>-1160.9000000000001</v>
          </cell>
          <cell r="L72">
            <v>-39.06</v>
          </cell>
          <cell r="M72">
            <v>-1199.96</v>
          </cell>
          <cell r="O72">
            <v>-1160.9000000000001</v>
          </cell>
          <cell r="Q72">
            <v>-45.6</v>
          </cell>
          <cell r="R72">
            <v>-1206.5</v>
          </cell>
        </row>
        <row r="73">
          <cell r="A73" t="str">
            <v>Pref</v>
          </cell>
          <cell r="C73">
            <v>-609.20000000000005</v>
          </cell>
          <cell r="D73">
            <v>-8.1999999999999993</v>
          </cell>
          <cell r="E73">
            <v>-617.40000000000009</v>
          </cell>
          <cell r="G73">
            <v>0</v>
          </cell>
          <cell r="H73">
            <v>0</v>
          </cell>
          <cell r="I73">
            <v>0</v>
          </cell>
          <cell r="K73">
            <v>-609.20000000000005</v>
          </cell>
          <cell r="L73">
            <v>-8.1999999999999993</v>
          </cell>
          <cell r="M73">
            <v>-617.40000000000009</v>
          </cell>
          <cell r="O73">
            <v>-609.20000000000005</v>
          </cell>
          <cell r="Q73">
            <v>12.3</v>
          </cell>
          <cell r="R73">
            <v>-596.9</v>
          </cell>
        </row>
        <row r="74">
          <cell r="C74">
            <v>-3188.8</v>
          </cell>
          <cell r="D74">
            <v>-47.260000000000005</v>
          </cell>
          <cell r="E74">
            <v>-3236.06</v>
          </cell>
          <cell r="G74">
            <v>-332</v>
          </cell>
          <cell r="H74">
            <v>0</v>
          </cell>
          <cell r="I74">
            <v>-332</v>
          </cell>
          <cell r="K74">
            <v>-2856.8</v>
          </cell>
          <cell r="L74">
            <v>-47.260000000000005</v>
          </cell>
          <cell r="M74">
            <v>-2904.06</v>
          </cell>
          <cell r="O74">
            <v>-2959.0730240000003</v>
          </cell>
          <cell r="Q74">
            <v>-33.299999999999997</v>
          </cell>
          <cell r="R74">
            <v>-2992.4</v>
          </cell>
        </row>
        <row r="75">
          <cell r="A75" t="str">
            <v>Other uses</v>
          </cell>
        </row>
        <row r="76">
          <cell r="A76" t="str">
            <v>Initail Fees</v>
          </cell>
          <cell r="E76">
            <v>-40</v>
          </cell>
          <cell r="I76">
            <v>-40</v>
          </cell>
          <cell r="M76">
            <v>0</v>
          </cell>
          <cell r="O76">
            <v>0</v>
          </cell>
          <cell r="R76">
            <v>0</v>
          </cell>
        </row>
        <row r="77">
          <cell r="E77">
            <v>-3276.06</v>
          </cell>
          <cell r="I77">
            <v>-372</v>
          </cell>
          <cell r="M77">
            <v>-2904.06</v>
          </cell>
          <cell r="O77">
            <v>-2959.0730240000003</v>
          </cell>
          <cell r="R77">
            <v>-2992.4</v>
          </cell>
        </row>
        <row r="78">
          <cell r="A78" t="str">
            <v>Initail Proceeds</v>
          </cell>
          <cell r="E78">
            <v>3400</v>
          </cell>
        </row>
        <row r="79">
          <cell r="A79" t="str">
            <v>Remaining proceeds</v>
          </cell>
          <cell r="E79">
            <v>123.94000000000005</v>
          </cell>
        </row>
        <row r="81">
          <cell r="O81" t="str">
            <v>(3)    See UCM Share Repurchase tab.    This is</v>
          </cell>
        </row>
        <row r="82">
          <cell r="A82" t="str">
            <v>F:\STAFF\jdm\KMH\Merge\FERC Filing\[FERC stmts2.XLS]TFI use</v>
          </cell>
          <cell r="O82" t="str">
            <v xml:space="preserve">         the same amount that was use in the 8-K </v>
          </cell>
        </row>
        <row r="83">
          <cell r="O83" t="str">
            <v xml:space="preserve">          filing for the merger.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_Req"/>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Attachment H-7"/>
      <sheetName val="1-Project Rev Req"/>
      <sheetName val="2-Incentive ROE"/>
      <sheetName val="3-Project True-up"/>
      <sheetName val="4- Rate Base"/>
      <sheetName val="4A - ADIT Summary"/>
      <sheetName val="4B - ADIT BOY"/>
      <sheetName val="4C - ADIT EOY"/>
      <sheetName val="4D - Intangible Pnt"/>
      <sheetName val="4E COA"/>
      <sheetName val="5-P3 Support"/>
      <sheetName val="5A - Revenue Credits"/>
      <sheetName val="5B - A&amp;G"/>
      <sheetName val="5C - Other Taxes"/>
      <sheetName val="6-True-Up Interest"/>
      <sheetName val="7 - PBOP"/>
      <sheetName val="8 - Depreciation Rates"/>
      <sheetName val="9 - EDIT"/>
      <sheetName val="10 - Pension Asset Discount"/>
      <sheetName val="11 - Cost of Capital"/>
    </sheetNames>
    <sheetDataSet>
      <sheetData sheetId="0" refreshError="1"/>
      <sheetData sheetId="1">
        <row r="11">
          <cell r="I11">
            <v>195164746.30825499</v>
          </cell>
        </row>
        <row r="24">
          <cell r="I24">
            <v>142632751.82457799</v>
          </cell>
        </row>
      </sheetData>
      <sheetData sheetId="2">
        <row r="67">
          <cell r="T67">
            <v>4906343.531498298</v>
          </cell>
        </row>
        <row r="68">
          <cell r="T68">
            <v>774571.43620914978</v>
          </cell>
        </row>
        <row r="69">
          <cell r="T69">
            <v>-206191.35987829912</v>
          </cell>
        </row>
        <row r="70">
          <cell r="T70">
            <v>296775.19526723376</v>
          </cell>
        </row>
        <row r="71">
          <cell r="T71">
            <v>367088.75862266374</v>
          </cell>
        </row>
        <row r="72">
          <cell r="T72">
            <v>490576.94711362058</v>
          </cell>
        </row>
        <row r="73">
          <cell r="T73">
            <v>2250204.6563650691</v>
          </cell>
        </row>
        <row r="74">
          <cell r="T74">
            <v>5866717.2196773663</v>
          </cell>
        </row>
        <row r="75">
          <cell r="T75">
            <v>2065574.8562331186</v>
          </cell>
        </row>
        <row r="76">
          <cell r="T76">
            <v>1988670.5918898364</v>
          </cell>
        </row>
        <row r="77">
          <cell r="T77">
            <v>2096027.9329513435</v>
          </cell>
        </row>
        <row r="78">
          <cell r="T78">
            <v>1311709.0786900988</v>
          </cell>
        </row>
        <row r="79">
          <cell r="T79">
            <v>952304.31007343519</v>
          </cell>
        </row>
        <row r="80">
          <cell r="T80">
            <v>202227.44027613185</v>
          </cell>
        </row>
        <row r="81">
          <cell r="T81">
            <v>252285.58510175557</v>
          </cell>
        </row>
        <row r="82">
          <cell r="T82">
            <v>285874.37678124569</v>
          </cell>
        </row>
        <row r="83">
          <cell r="T83">
            <v>276920.64973693067</v>
          </cell>
        </row>
        <row r="84">
          <cell r="T84">
            <v>385435.89480882278</v>
          </cell>
        </row>
        <row r="85">
          <cell r="T85">
            <v>518436.45079918602</v>
          </cell>
        </row>
        <row r="86">
          <cell r="T86">
            <v>293430.25205795758</v>
          </cell>
        </row>
        <row r="87">
          <cell r="T87">
            <v>243703.71798245361</v>
          </cell>
        </row>
        <row r="88">
          <cell r="T88">
            <v>226035.56089855407</v>
          </cell>
        </row>
        <row r="89">
          <cell r="T89">
            <v>969841.47328782803</v>
          </cell>
        </row>
        <row r="90">
          <cell r="T90">
            <v>726606.63909184968</v>
          </cell>
        </row>
        <row r="91">
          <cell r="T91">
            <v>1551917.6516655439</v>
          </cell>
        </row>
        <row r="92">
          <cell r="T92">
            <v>54930.907637597746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tabSelected="1" view="pageBreakPreview" zoomScaleNormal="100" zoomScaleSheetLayoutView="100" workbookViewId="0">
      <selection activeCell="E20" sqref="E20"/>
    </sheetView>
  </sheetViews>
  <sheetFormatPr defaultColWidth="8.77734375" defaultRowHeight="15.75"/>
  <cols>
    <col min="1" max="16384" width="8.77734375" style="16"/>
  </cols>
  <sheetData>
    <row r="1" spans="1:4" ht="20.25">
      <c r="A1" s="15"/>
    </row>
    <row r="2" spans="1:4" ht="20.25">
      <c r="A2" s="15"/>
    </row>
    <row r="4" spans="1:4">
      <c r="D4" s="17" t="s">
        <v>1176</v>
      </c>
    </row>
    <row r="5" spans="1:4">
      <c r="D5" s="17" t="s">
        <v>1177</v>
      </c>
    </row>
  </sheetData>
  <sheetProtection algorithmName="SHA-512" hashValue="PUc2qVM2RTxA6mIzF/3ax4gTu4MRUaBeORZZphfllG+dceCDbhmQYcoRcJ16VPRUIs8SYKcgktJ0JBPnB9gOtA==" saltValue="PanCSSJr4K6T5UmM5Sg/U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07"/>
  <sheetViews>
    <sheetView view="pageBreakPreview" topLeftCell="A68" zoomScale="60" zoomScaleNormal="60" workbookViewId="0">
      <selection activeCell="E99" sqref="E99"/>
    </sheetView>
  </sheetViews>
  <sheetFormatPr defaultColWidth="8.88671875" defaultRowHeight="15"/>
  <cols>
    <col min="1" max="1" width="4.77734375" style="530" customWidth="1"/>
    <col min="2" max="2" width="45.6640625" style="530" customWidth="1"/>
    <col min="3" max="3" width="17.6640625" style="530" bestFit="1" customWidth="1"/>
    <col min="4" max="5" width="11.21875" style="530" customWidth="1"/>
    <col min="6" max="6" width="15.109375" style="530" customWidth="1"/>
    <col min="7" max="15" width="11.21875" style="530" bestFit="1" customWidth="1"/>
    <col min="16" max="16" width="12.21875" style="530" customWidth="1"/>
    <col min="17" max="17" width="10.44140625" style="530" bestFit="1" customWidth="1"/>
    <col min="18" max="18" width="11.21875" style="530" bestFit="1" customWidth="1"/>
    <col min="19" max="19" width="13.44140625" style="530" bestFit="1" customWidth="1"/>
    <col min="20" max="20" width="12" style="530" bestFit="1" customWidth="1"/>
    <col min="21" max="16384" width="8.88671875" style="530"/>
  </cols>
  <sheetData>
    <row r="1" spans="1:20">
      <c r="B1" s="1059" t="str">
        <f>+'Attachment H-7'!D177</f>
        <v>PECO Energy Company</v>
      </c>
      <c r="C1" s="1059"/>
      <c r="D1" s="1059"/>
      <c r="E1" s="1059"/>
      <c r="F1" s="1059"/>
      <c r="G1" s="1059"/>
    </row>
    <row r="2" spans="1:20">
      <c r="B2" s="1061"/>
      <c r="C2" s="1061"/>
      <c r="D2" s="1061"/>
      <c r="E2" s="1061"/>
      <c r="F2" s="1061"/>
      <c r="G2" s="1061"/>
      <c r="H2" s="1061"/>
      <c r="T2" s="530" t="s">
        <v>422</v>
      </c>
    </row>
    <row r="3" spans="1:20">
      <c r="B3" s="1060" t="s">
        <v>652</v>
      </c>
      <c r="C3" s="1060"/>
      <c r="D3" s="1060"/>
      <c r="E3" s="1060"/>
      <c r="F3" s="1060"/>
      <c r="G3" s="1060"/>
    </row>
    <row r="5" spans="1:20">
      <c r="B5" s="531" t="s">
        <v>684</v>
      </c>
      <c r="C5" s="531"/>
      <c r="D5" s="531"/>
      <c r="E5" s="531"/>
      <c r="F5" s="531"/>
      <c r="G5" s="531"/>
    </row>
    <row r="6" spans="1:20">
      <c r="B6" s="369" t="s">
        <v>198</v>
      </c>
      <c r="C6" s="369" t="s">
        <v>199</v>
      </c>
      <c r="D6" s="369" t="s">
        <v>200</v>
      </c>
      <c r="E6" s="369" t="s">
        <v>201</v>
      </c>
      <c r="F6" s="369" t="s">
        <v>203</v>
      </c>
      <c r="G6" s="369" t="s">
        <v>202</v>
      </c>
      <c r="H6" s="369" t="s">
        <v>204</v>
      </c>
      <c r="I6" s="369" t="s">
        <v>205</v>
      </c>
      <c r="J6" s="369" t="s">
        <v>206</v>
      </c>
      <c r="K6" s="369" t="s">
        <v>244</v>
      </c>
      <c r="L6" s="369" t="s">
        <v>248</v>
      </c>
      <c r="M6" s="369" t="s">
        <v>453</v>
      </c>
      <c r="N6" s="369" t="s">
        <v>779</v>
      </c>
      <c r="O6" s="369" t="s">
        <v>780</v>
      </c>
      <c r="P6" s="369" t="s">
        <v>781</v>
      </c>
      <c r="Q6" s="369" t="s">
        <v>782</v>
      </c>
      <c r="R6" s="369" t="s">
        <v>783</v>
      </c>
      <c r="S6" s="369" t="s">
        <v>784</v>
      </c>
      <c r="T6" s="369" t="s">
        <v>787</v>
      </c>
    </row>
    <row r="7" spans="1:20">
      <c r="B7" s="377" t="s">
        <v>775</v>
      </c>
      <c r="C7" s="532" t="s">
        <v>195</v>
      </c>
      <c r="D7" s="369" t="s">
        <v>84</v>
      </c>
      <c r="E7" s="369" t="s">
        <v>83</v>
      </c>
      <c r="F7" s="369" t="s">
        <v>82</v>
      </c>
      <c r="G7" s="369" t="s">
        <v>74</v>
      </c>
      <c r="H7" s="369" t="s">
        <v>73</v>
      </c>
      <c r="I7" s="369" t="s">
        <v>93</v>
      </c>
      <c r="J7" s="369" t="s">
        <v>81</v>
      </c>
      <c r="K7" s="369" t="s">
        <v>80</v>
      </c>
      <c r="L7" s="369" t="s">
        <v>79</v>
      </c>
      <c r="M7" s="369" t="s">
        <v>85</v>
      </c>
      <c r="N7" s="369" t="s">
        <v>78</v>
      </c>
      <c r="O7" s="369" t="s">
        <v>77</v>
      </c>
      <c r="P7" s="369" t="s">
        <v>481</v>
      </c>
      <c r="Q7" s="530" t="s">
        <v>17</v>
      </c>
      <c r="R7" s="530" t="s">
        <v>778</v>
      </c>
      <c r="S7" s="530" t="s">
        <v>685</v>
      </c>
      <c r="T7" s="533" t="s">
        <v>13</v>
      </c>
    </row>
    <row r="8" spans="1:20">
      <c r="B8" s="377"/>
      <c r="C8" s="532"/>
      <c r="D8" s="369"/>
      <c r="E8" s="369"/>
      <c r="F8" s="369"/>
      <c r="G8" s="369"/>
      <c r="H8" s="369"/>
      <c r="I8" s="369"/>
      <c r="J8" s="369"/>
      <c r="K8" s="369"/>
      <c r="L8" s="369"/>
      <c r="M8" s="369"/>
      <c r="N8" s="369"/>
      <c r="O8" s="369"/>
      <c r="P8" s="534" t="s">
        <v>788</v>
      </c>
      <c r="T8" s="535" t="s">
        <v>1155</v>
      </c>
    </row>
    <row r="9" spans="1:20">
      <c r="A9" s="536">
        <v>1</v>
      </c>
      <c r="B9" s="954" t="s">
        <v>1529</v>
      </c>
      <c r="C9" s="955">
        <v>17881251.390000001</v>
      </c>
      <c r="D9" s="955">
        <v>23945709.3699915</v>
      </c>
      <c r="E9" s="955">
        <v>24556582.4399915</v>
      </c>
      <c r="F9" s="955">
        <v>25360374.399991501</v>
      </c>
      <c r="G9" s="955">
        <v>26132220.7999915</v>
      </c>
      <c r="H9" s="955">
        <v>26836900.269991498</v>
      </c>
      <c r="I9" s="955">
        <v>27604876.669991497</v>
      </c>
      <c r="J9" s="955">
        <v>28331566.339991499</v>
      </c>
      <c r="K9" s="955">
        <v>28995770.219991498</v>
      </c>
      <c r="L9" s="955">
        <v>29747926.449991498</v>
      </c>
      <c r="M9" s="955">
        <v>30492445.639991499</v>
      </c>
      <c r="N9" s="955">
        <v>31167365.8699915</v>
      </c>
      <c r="O9" s="955">
        <v>33565085.429991499</v>
      </c>
      <c r="P9" s="537">
        <f>AVERAGE(C9:O9)</f>
        <v>27278313.483838305</v>
      </c>
      <c r="Q9" s="537"/>
      <c r="R9" s="537"/>
      <c r="S9" s="537">
        <f>P9</f>
        <v>27278313.483838305</v>
      </c>
      <c r="T9" s="537">
        <f>SUM(Q9:S9)</f>
        <v>27278313.483838305</v>
      </c>
    </row>
    <row r="10" spans="1:20">
      <c r="A10" s="536">
        <f>A9+1</f>
        <v>2</v>
      </c>
      <c r="B10" s="954" t="s">
        <v>776</v>
      </c>
      <c r="C10" s="955">
        <v>10967791.289999999</v>
      </c>
      <c r="D10" s="955">
        <v>10967791.289999999</v>
      </c>
      <c r="E10" s="955">
        <v>10967791.289999999</v>
      </c>
      <c r="F10" s="955">
        <v>10967791.289999999</v>
      </c>
      <c r="G10" s="955">
        <v>10967791.289999999</v>
      </c>
      <c r="H10" s="955">
        <v>10967791.289999999</v>
      </c>
      <c r="I10" s="955">
        <v>10967791.289999999</v>
      </c>
      <c r="J10" s="955">
        <v>10967791.289999999</v>
      </c>
      <c r="K10" s="955">
        <v>10967791.289999999</v>
      </c>
      <c r="L10" s="955">
        <v>10967791.289999999</v>
      </c>
      <c r="M10" s="955">
        <v>10967791.289999999</v>
      </c>
      <c r="N10" s="955">
        <v>10967791.289999999</v>
      </c>
      <c r="O10" s="955">
        <v>10967791.289999999</v>
      </c>
      <c r="P10" s="537">
        <f t="shared" ref="P10:P15" si="0">AVERAGE(C10:O10)</f>
        <v>10967791.289999995</v>
      </c>
      <c r="Q10" s="537">
        <f>P10</f>
        <v>10967791.289999995</v>
      </c>
      <c r="R10" s="537"/>
      <c r="S10" s="537"/>
      <c r="T10" s="537">
        <f t="shared" ref="T10:T27" si="1">SUM(Q10:S10)</f>
        <v>10967791.289999995</v>
      </c>
    </row>
    <row r="11" spans="1:20">
      <c r="A11" s="536">
        <f t="shared" ref="A11:A29" si="2">A10+1</f>
        <v>3</v>
      </c>
      <c r="B11" s="954" t="s">
        <v>777</v>
      </c>
      <c r="C11" s="955">
        <v>1486430.4100000001</v>
      </c>
      <c r="D11" s="955">
        <v>1486430.4100000001</v>
      </c>
      <c r="E11" s="955">
        <v>1486430.4100000001</v>
      </c>
      <c r="F11" s="955">
        <v>1486430.4100000001</v>
      </c>
      <c r="G11" s="955">
        <v>1486430.4100000001</v>
      </c>
      <c r="H11" s="955">
        <v>1486430.4100000001</v>
      </c>
      <c r="I11" s="955">
        <v>1486430.4100000001</v>
      </c>
      <c r="J11" s="955">
        <v>1486430.4100000001</v>
      </c>
      <c r="K11" s="955">
        <v>1486430.4100000001</v>
      </c>
      <c r="L11" s="955">
        <v>1486430.4100000001</v>
      </c>
      <c r="M11" s="955">
        <v>1486430.4100000001</v>
      </c>
      <c r="N11" s="955">
        <v>1486430.4100000001</v>
      </c>
      <c r="O11" s="955">
        <v>1486430.4100000001</v>
      </c>
      <c r="P11" s="537">
        <f t="shared" si="0"/>
        <v>1486430.4100000001</v>
      </c>
      <c r="Q11" s="537"/>
      <c r="R11" s="537">
        <f>P11</f>
        <v>1486430.4100000001</v>
      </c>
      <c r="S11" s="537"/>
      <c r="T11" s="537">
        <f t="shared" si="1"/>
        <v>1486430.4100000001</v>
      </c>
    </row>
    <row r="12" spans="1:20">
      <c r="A12" s="536">
        <f t="shared" si="2"/>
        <v>4</v>
      </c>
      <c r="B12" s="954" t="s">
        <v>789</v>
      </c>
      <c r="C12" s="955">
        <v>2231384.04</v>
      </c>
      <c r="D12" s="955">
        <v>2231384.04</v>
      </c>
      <c r="E12" s="955">
        <v>2231384.04</v>
      </c>
      <c r="F12" s="955">
        <v>2231384.04</v>
      </c>
      <c r="G12" s="955">
        <v>2231384.04</v>
      </c>
      <c r="H12" s="955">
        <v>2231384.04</v>
      </c>
      <c r="I12" s="955">
        <v>2231384.04</v>
      </c>
      <c r="J12" s="955">
        <v>2231384.04</v>
      </c>
      <c r="K12" s="955">
        <v>2231384.04</v>
      </c>
      <c r="L12" s="955">
        <v>2231384.04</v>
      </c>
      <c r="M12" s="955">
        <v>2231384.04</v>
      </c>
      <c r="N12" s="955">
        <v>2231384.04</v>
      </c>
      <c r="O12" s="955">
        <v>2231384.04</v>
      </c>
      <c r="P12" s="537">
        <f t="shared" si="0"/>
        <v>2231384.0399999996</v>
      </c>
      <c r="Q12" s="537"/>
      <c r="R12" s="537">
        <f>P12</f>
        <v>2231384.0399999996</v>
      </c>
      <c r="S12" s="537"/>
      <c r="T12" s="537">
        <f t="shared" si="1"/>
        <v>2231384.0399999996</v>
      </c>
    </row>
    <row r="13" spans="1:20">
      <c r="A13" s="536">
        <f t="shared" si="2"/>
        <v>5</v>
      </c>
      <c r="B13" s="954" t="s">
        <v>1560</v>
      </c>
      <c r="C13" s="955">
        <v>26991446.301371101</v>
      </c>
      <c r="D13" s="955">
        <v>27186158.6813711</v>
      </c>
      <c r="E13" s="955">
        <v>27411602.511371098</v>
      </c>
      <c r="F13" s="955">
        <v>27688916.901371099</v>
      </c>
      <c r="G13" s="955">
        <v>27964599.3413711</v>
      </c>
      <c r="H13" s="955">
        <v>28224999.851371102</v>
      </c>
      <c r="I13" s="955">
        <v>28499977.071371101</v>
      </c>
      <c r="J13" s="955">
        <v>28765557.991371103</v>
      </c>
      <c r="K13" s="955">
        <v>29004223.481371101</v>
      </c>
      <c r="L13" s="955">
        <v>29259665.721371099</v>
      </c>
      <c r="M13" s="955">
        <v>29512134.121371098</v>
      </c>
      <c r="N13" s="955">
        <v>29738755.241371099</v>
      </c>
      <c r="O13" s="955">
        <v>30011456.311371099</v>
      </c>
      <c r="P13" s="537">
        <f t="shared" si="0"/>
        <v>28481499.502140328</v>
      </c>
      <c r="Q13" s="537"/>
      <c r="R13" s="537">
        <f>P13</f>
        <v>28481499.502140328</v>
      </c>
      <c r="S13" s="537"/>
      <c r="T13" s="537">
        <f t="shared" si="1"/>
        <v>28481499.502140328</v>
      </c>
    </row>
    <row r="14" spans="1:20">
      <c r="A14" s="536">
        <f t="shared" si="2"/>
        <v>6</v>
      </c>
      <c r="B14" s="956" t="s">
        <v>818</v>
      </c>
      <c r="C14" s="955">
        <v>30137375.039999999</v>
      </c>
      <c r="D14" s="955">
        <v>30137375.039999999</v>
      </c>
      <c r="E14" s="955">
        <v>30137375.039999999</v>
      </c>
      <c r="F14" s="955">
        <v>30137375.039999999</v>
      </c>
      <c r="G14" s="955">
        <v>30137375.039999999</v>
      </c>
      <c r="H14" s="955">
        <v>30137375.039999999</v>
      </c>
      <c r="I14" s="955">
        <v>30137375.039999999</v>
      </c>
      <c r="J14" s="955">
        <v>30137375.039999999</v>
      </c>
      <c r="K14" s="955">
        <v>30137375.039999999</v>
      </c>
      <c r="L14" s="955">
        <v>30137375.039999999</v>
      </c>
      <c r="M14" s="955">
        <v>30137375.039999999</v>
      </c>
      <c r="N14" s="955">
        <v>30137375.039999999</v>
      </c>
      <c r="O14" s="955">
        <v>30137375.039999999</v>
      </c>
      <c r="P14" s="537">
        <f t="shared" si="0"/>
        <v>30137375.040000003</v>
      </c>
      <c r="Q14" s="537"/>
      <c r="R14" s="537">
        <f>P14</f>
        <v>30137375.040000003</v>
      </c>
      <c r="S14" s="537"/>
      <c r="T14" s="537">
        <f t="shared" si="1"/>
        <v>30137375.040000003</v>
      </c>
    </row>
    <row r="15" spans="1:20">
      <c r="A15" s="536">
        <f t="shared" si="2"/>
        <v>7</v>
      </c>
      <c r="B15" s="954" t="s">
        <v>790</v>
      </c>
      <c r="C15" s="955">
        <v>86110082.590000004</v>
      </c>
      <c r="D15" s="955">
        <v>86110082.590000004</v>
      </c>
      <c r="E15" s="955">
        <v>86110082.590000004</v>
      </c>
      <c r="F15" s="955">
        <v>86110082.590000004</v>
      </c>
      <c r="G15" s="955">
        <v>86110082.590000004</v>
      </c>
      <c r="H15" s="955">
        <v>86110082.590000004</v>
      </c>
      <c r="I15" s="955">
        <v>86110082.590000004</v>
      </c>
      <c r="J15" s="955">
        <v>86110082.590000004</v>
      </c>
      <c r="K15" s="955">
        <v>86110082.590000004</v>
      </c>
      <c r="L15" s="955">
        <v>86110082.590000004</v>
      </c>
      <c r="M15" s="955">
        <v>86110082.590000004</v>
      </c>
      <c r="N15" s="955">
        <v>86110082.590000004</v>
      </c>
      <c r="O15" s="955">
        <v>86110082.590000004</v>
      </c>
      <c r="P15" s="537">
        <f t="shared" si="0"/>
        <v>86110082.590000018</v>
      </c>
      <c r="Q15" s="537"/>
      <c r="R15" s="537">
        <f>P15</f>
        <v>86110082.590000018</v>
      </c>
      <c r="S15" s="537"/>
      <c r="T15" s="537">
        <f t="shared" si="1"/>
        <v>86110082.590000018</v>
      </c>
    </row>
    <row r="16" spans="1:20">
      <c r="A16" s="536">
        <f t="shared" si="2"/>
        <v>8</v>
      </c>
      <c r="B16" s="954" t="s">
        <v>1561</v>
      </c>
      <c r="C16" s="955">
        <v>5771259.0199999996</v>
      </c>
      <c r="D16" s="955">
        <v>5771259.0199999996</v>
      </c>
      <c r="E16" s="955">
        <v>5771259.0199999996</v>
      </c>
      <c r="F16" s="955">
        <v>5771259.0199999996</v>
      </c>
      <c r="G16" s="955">
        <v>5771259.0199999996</v>
      </c>
      <c r="H16" s="955">
        <v>5771259.0199999996</v>
      </c>
      <c r="I16" s="955">
        <v>5771259.0199999996</v>
      </c>
      <c r="J16" s="955">
        <v>5771259.0199999996</v>
      </c>
      <c r="K16" s="955">
        <v>5771259.0199999996</v>
      </c>
      <c r="L16" s="955">
        <v>5771259.0199999996</v>
      </c>
      <c r="M16" s="955">
        <v>5771259.0199999996</v>
      </c>
      <c r="N16" s="955">
        <v>5771259.0199999996</v>
      </c>
      <c r="O16" s="955">
        <v>5771259.0199999996</v>
      </c>
      <c r="P16" s="537">
        <f t="shared" ref="P16:P17" si="3">AVERAGE(C16:O16)</f>
        <v>5771259.0199999977</v>
      </c>
      <c r="Q16" s="537">
        <f>P16</f>
        <v>5771259.0199999977</v>
      </c>
      <c r="R16" s="537"/>
      <c r="S16" s="537"/>
      <c r="T16" s="537">
        <f t="shared" ref="T16" si="4">SUM(Q16:S16)</f>
        <v>5771259.0199999977</v>
      </c>
    </row>
    <row r="17" spans="1:20">
      <c r="A17" s="536">
        <f t="shared" si="2"/>
        <v>9</v>
      </c>
      <c r="B17" s="954" t="s">
        <v>1636</v>
      </c>
      <c r="C17" s="955">
        <v>947198.9886288984</v>
      </c>
      <c r="D17" s="955">
        <v>947198.9886288984</v>
      </c>
      <c r="E17" s="955">
        <v>947198.9886288984</v>
      </c>
      <c r="F17" s="955">
        <v>947198.9886288984</v>
      </c>
      <c r="G17" s="955">
        <v>947198.9886288984</v>
      </c>
      <c r="H17" s="955">
        <v>947198.9886288984</v>
      </c>
      <c r="I17" s="955">
        <v>947198.9886288984</v>
      </c>
      <c r="J17" s="955">
        <v>947198.9886288984</v>
      </c>
      <c r="K17" s="955">
        <v>947198.9886288984</v>
      </c>
      <c r="L17" s="955">
        <v>947198.9886288984</v>
      </c>
      <c r="M17" s="955">
        <v>947198.9886288984</v>
      </c>
      <c r="N17" s="955">
        <v>947198.9886288984</v>
      </c>
      <c r="O17" s="955">
        <v>947198.9886288984</v>
      </c>
      <c r="P17" s="537">
        <f t="shared" si="3"/>
        <v>947198.98862889828</v>
      </c>
      <c r="Q17" s="537">
        <f>P17</f>
        <v>947198.98862889828</v>
      </c>
      <c r="R17" s="537"/>
      <c r="S17" s="537"/>
      <c r="T17" s="537">
        <f t="shared" si="1"/>
        <v>947198.98862889828</v>
      </c>
    </row>
    <row r="18" spans="1:20">
      <c r="A18" s="536">
        <f t="shared" si="2"/>
        <v>10</v>
      </c>
      <c r="B18" s="954" t="s">
        <v>1649</v>
      </c>
      <c r="C18" s="955">
        <v>0</v>
      </c>
      <c r="D18" s="955">
        <v>154582.60076945001</v>
      </c>
      <c r="E18" s="955">
        <v>332832.45719563006</v>
      </c>
      <c r="F18" s="955">
        <v>552094.30762703007</v>
      </c>
      <c r="G18" s="955">
        <v>770065.86357176013</v>
      </c>
      <c r="H18" s="955">
        <v>975954.67639215011</v>
      </c>
      <c r="I18" s="955">
        <v>1193368.69304793</v>
      </c>
      <c r="J18" s="955">
        <v>1403353.44706487</v>
      </c>
      <c r="K18" s="955">
        <v>1592057.15202086</v>
      </c>
      <c r="L18" s="955">
        <v>1794025.50982095</v>
      </c>
      <c r="M18" s="955">
        <v>1993642.5780821899</v>
      </c>
      <c r="N18" s="955">
        <v>2172823.1381128998</v>
      </c>
      <c r="O18" s="955">
        <v>2388437.0382181397</v>
      </c>
      <c r="P18" s="537">
        <f t="shared" ref="P18" si="5">AVERAGE(C18:O18)</f>
        <v>1178710.5739941432</v>
      </c>
      <c r="Q18" s="537"/>
      <c r="R18" s="537">
        <f>P18</f>
        <v>1178710.5739941432</v>
      </c>
      <c r="S18" s="537"/>
      <c r="T18" s="537">
        <f t="shared" si="1"/>
        <v>1178710.5739941432</v>
      </c>
    </row>
    <row r="19" spans="1:20">
      <c r="A19" s="536">
        <f t="shared" si="2"/>
        <v>11</v>
      </c>
      <c r="B19" s="957"/>
      <c r="C19" s="957"/>
      <c r="D19" s="957"/>
      <c r="E19" s="957"/>
      <c r="F19" s="957"/>
      <c r="G19" s="957"/>
      <c r="H19" s="957"/>
      <c r="I19" s="958"/>
      <c r="J19" s="958"/>
      <c r="K19" s="958"/>
      <c r="L19" s="958"/>
      <c r="M19" s="958"/>
      <c r="N19" s="958"/>
      <c r="O19" s="958"/>
      <c r="P19" s="537"/>
      <c r="Q19" s="537"/>
      <c r="R19" s="537"/>
      <c r="S19" s="537"/>
      <c r="T19" s="537">
        <f t="shared" si="1"/>
        <v>0</v>
      </c>
    </row>
    <row r="20" spans="1:20">
      <c r="A20" s="536">
        <f t="shared" si="2"/>
        <v>12</v>
      </c>
      <c r="B20" s="957"/>
      <c r="C20" s="957"/>
      <c r="D20" s="957"/>
      <c r="E20" s="957"/>
      <c r="F20" s="957"/>
      <c r="G20" s="957"/>
      <c r="H20" s="957"/>
      <c r="I20" s="958"/>
      <c r="J20" s="958"/>
      <c r="K20" s="958"/>
      <c r="L20" s="958"/>
      <c r="M20" s="958"/>
      <c r="N20" s="958"/>
      <c r="O20" s="958"/>
      <c r="P20" s="537"/>
      <c r="Q20" s="537"/>
      <c r="R20" s="537"/>
      <c r="S20" s="537"/>
      <c r="T20" s="537">
        <f t="shared" si="1"/>
        <v>0</v>
      </c>
    </row>
    <row r="21" spans="1:20">
      <c r="A21" s="536">
        <f t="shared" si="2"/>
        <v>13</v>
      </c>
      <c r="B21" s="957"/>
      <c r="C21" s="957"/>
      <c r="D21" s="957"/>
      <c r="E21" s="957"/>
      <c r="F21" s="957"/>
      <c r="G21" s="957"/>
      <c r="H21" s="957"/>
      <c r="I21" s="958"/>
      <c r="J21" s="958"/>
      <c r="K21" s="958"/>
      <c r="L21" s="958"/>
      <c r="M21" s="958"/>
      <c r="N21" s="958"/>
      <c r="O21" s="958"/>
      <c r="P21" s="537"/>
      <c r="Q21" s="537"/>
      <c r="R21" s="537"/>
      <c r="S21" s="537"/>
      <c r="T21" s="537">
        <f t="shared" si="1"/>
        <v>0</v>
      </c>
    </row>
    <row r="22" spans="1:20">
      <c r="A22" s="536">
        <f t="shared" si="2"/>
        <v>14</v>
      </c>
      <c r="B22" s="958"/>
      <c r="C22" s="958"/>
      <c r="D22" s="958"/>
      <c r="E22" s="958"/>
      <c r="F22" s="958"/>
      <c r="G22" s="958"/>
      <c r="H22" s="958"/>
      <c r="I22" s="958"/>
      <c r="J22" s="958"/>
      <c r="K22" s="958"/>
      <c r="L22" s="958"/>
      <c r="M22" s="958"/>
      <c r="N22" s="958"/>
      <c r="O22" s="958"/>
      <c r="Q22" s="537"/>
      <c r="R22" s="537"/>
      <c r="S22" s="537"/>
      <c r="T22" s="537">
        <f t="shared" si="1"/>
        <v>0</v>
      </c>
    </row>
    <row r="23" spans="1:20">
      <c r="A23" s="536">
        <f t="shared" si="2"/>
        <v>15</v>
      </c>
      <c r="B23" s="957"/>
      <c r="C23" s="957"/>
      <c r="D23" s="957"/>
      <c r="E23" s="957"/>
      <c r="F23" s="957"/>
      <c r="G23" s="957"/>
      <c r="H23" s="957"/>
      <c r="I23" s="958"/>
      <c r="J23" s="958"/>
      <c r="K23" s="958"/>
      <c r="L23" s="958"/>
      <c r="M23" s="958"/>
      <c r="N23" s="958"/>
      <c r="O23" s="958"/>
      <c r="Q23" s="537"/>
      <c r="R23" s="537"/>
      <c r="S23" s="537"/>
      <c r="T23" s="537">
        <f t="shared" si="1"/>
        <v>0</v>
      </c>
    </row>
    <row r="24" spans="1:20">
      <c r="A24" s="536">
        <f t="shared" si="2"/>
        <v>16</v>
      </c>
      <c r="B24" s="958"/>
      <c r="C24" s="958"/>
      <c r="D24" s="958"/>
      <c r="E24" s="958"/>
      <c r="F24" s="958"/>
      <c r="G24" s="958"/>
      <c r="H24" s="958"/>
      <c r="I24" s="958"/>
      <c r="J24" s="958"/>
      <c r="K24" s="958"/>
      <c r="L24" s="958"/>
      <c r="M24" s="958"/>
      <c r="N24" s="958"/>
      <c r="O24" s="958"/>
      <c r="Q24" s="537"/>
      <c r="R24" s="537"/>
      <c r="S24" s="537"/>
      <c r="T24" s="537">
        <f t="shared" si="1"/>
        <v>0</v>
      </c>
    </row>
    <row r="25" spans="1:20">
      <c r="A25" s="536">
        <f t="shared" si="2"/>
        <v>17</v>
      </c>
      <c r="B25" s="958"/>
      <c r="C25" s="958"/>
      <c r="D25" s="958"/>
      <c r="E25" s="958"/>
      <c r="F25" s="958"/>
      <c r="G25" s="958"/>
      <c r="H25" s="958"/>
      <c r="I25" s="958"/>
      <c r="J25" s="958"/>
      <c r="K25" s="958"/>
      <c r="L25" s="958"/>
      <c r="M25" s="958"/>
      <c r="N25" s="958"/>
      <c r="O25" s="958"/>
      <c r="Q25" s="537"/>
      <c r="R25" s="537"/>
      <c r="S25" s="537"/>
      <c r="T25" s="537">
        <f t="shared" si="1"/>
        <v>0</v>
      </c>
    </row>
    <row r="26" spans="1:20">
      <c r="A26" s="536">
        <f t="shared" si="2"/>
        <v>18</v>
      </c>
      <c r="B26" s="958"/>
      <c r="C26" s="958"/>
      <c r="D26" s="958"/>
      <c r="E26" s="958"/>
      <c r="F26" s="958"/>
      <c r="G26" s="958"/>
      <c r="H26" s="958"/>
      <c r="I26" s="958"/>
      <c r="J26" s="958"/>
      <c r="K26" s="958"/>
      <c r="L26" s="958"/>
      <c r="M26" s="958"/>
      <c r="N26" s="958"/>
      <c r="O26" s="958"/>
      <c r="Q26" s="537"/>
      <c r="R26" s="537"/>
      <c r="S26" s="537"/>
      <c r="T26" s="537">
        <f t="shared" si="1"/>
        <v>0</v>
      </c>
    </row>
    <row r="27" spans="1:20">
      <c r="A27" s="536">
        <f t="shared" si="2"/>
        <v>19</v>
      </c>
      <c r="B27" s="369" t="s">
        <v>13</v>
      </c>
      <c r="C27" s="537">
        <f>SUM(C9:C26)</f>
        <v>182524219.06999999</v>
      </c>
      <c r="D27" s="537">
        <f t="shared" ref="D27:O27" si="6">SUM(D9:D26)</f>
        <v>188937972.03076097</v>
      </c>
      <c r="E27" s="537">
        <f t="shared" si="6"/>
        <v>189952538.78718713</v>
      </c>
      <c r="F27" s="537">
        <f t="shared" si="6"/>
        <v>191252906.98761854</v>
      </c>
      <c r="G27" s="537">
        <f t="shared" si="6"/>
        <v>192518407.38356325</v>
      </c>
      <c r="H27" s="537">
        <f t="shared" si="6"/>
        <v>193689376.17638364</v>
      </c>
      <c r="I27" s="537">
        <f t="shared" si="6"/>
        <v>194949743.81303945</v>
      </c>
      <c r="J27" s="537">
        <f t="shared" si="6"/>
        <v>196151999.15705639</v>
      </c>
      <c r="K27" s="537">
        <f t="shared" si="6"/>
        <v>197243572.23201236</v>
      </c>
      <c r="L27" s="537">
        <f t="shared" si="6"/>
        <v>198453139.05981243</v>
      </c>
      <c r="M27" s="537">
        <f t="shared" si="6"/>
        <v>199649743.7180737</v>
      </c>
      <c r="N27" s="537">
        <f>SUM(N9:N26)</f>
        <v>200730465.62810442</v>
      </c>
      <c r="O27" s="537">
        <f t="shared" si="6"/>
        <v>203616500.15820965</v>
      </c>
      <c r="P27" s="537">
        <f>AVERAGE(C27:O27)</f>
        <v>194590044.93860167</v>
      </c>
      <c r="Q27" s="537">
        <f>SUM(Q9:Q26)</f>
        <v>17686249.298628893</v>
      </c>
      <c r="R27" s="537">
        <f>SUM(R9:R26)</f>
        <v>149625482.15613449</v>
      </c>
      <c r="S27" s="537">
        <f>SUM(S9:S26)</f>
        <v>27278313.483838305</v>
      </c>
      <c r="T27" s="537">
        <f t="shared" si="1"/>
        <v>194590044.93860167</v>
      </c>
    </row>
    <row r="28" spans="1:20">
      <c r="A28" s="536">
        <f t="shared" si="2"/>
        <v>20</v>
      </c>
      <c r="B28" s="369"/>
      <c r="C28" s="537"/>
      <c r="D28" s="537"/>
      <c r="E28" s="537"/>
      <c r="F28" s="537"/>
      <c r="G28" s="537"/>
      <c r="H28" s="537"/>
      <c r="I28" s="537"/>
      <c r="J28" s="537"/>
      <c r="K28" s="537"/>
      <c r="L28" s="537"/>
      <c r="M28" s="537"/>
      <c r="N28" s="537"/>
      <c r="O28" s="537"/>
      <c r="P28" s="538" t="s">
        <v>698</v>
      </c>
      <c r="Q28" s="539">
        <v>1</v>
      </c>
      <c r="R28" s="539">
        <v>0</v>
      </c>
      <c r="S28" s="539">
        <f>'Attachment H-7'!I197</f>
        <v>9.4490855863003556E-2</v>
      </c>
      <c r="T28" s="537"/>
    </row>
    <row r="29" spans="1:20">
      <c r="A29" s="536">
        <f t="shared" si="2"/>
        <v>21</v>
      </c>
      <c r="B29" s="369"/>
      <c r="C29" s="537"/>
      <c r="D29" s="537"/>
      <c r="E29" s="537"/>
      <c r="F29" s="537"/>
      <c r="G29" s="537"/>
      <c r="H29" s="537"/>
      <c r="I29" s="537"/>
      <c r="J29" s="537"/>
      <c r="K29" s="537"/>
      <c r="L29" s="537"/>
      <c r="M29" s="537"/>
      <c r="N29" s="537"/>
      <c r="O29" s="537"/>
      <c r="P29" s="538" t="s">
        <v>786</v>
      </c>
      <c r="Q29" s="537">
        <f>Q27*Q28</f>
        <v>17686249.298628893</v>
      </c>
      <c r="R29" s="537">
        <f t="shared" ref="R29:S29" si="7">R27*R28</f>
        <v>0</v>
      </c>
      <c r="S29" s="537">
        <f t="shared" si="7"/>
        <v>2577551.1875871918</v>
      </c>
      <c r="T29" s="537">
        <f>SUM(Q29:S29)</f>
        <v>20263800.486216083</v>
      </c>
    </row>
    <row r="30" spans="1:20">
      <c r="A30" s="536"/>
    </row>
    <row r="31" spans="1:20">
      <c r="B31" s="369" t="s">
        <v>198</v>
      </c>
      <c r="C31" s="369" t="s">
        <v>199</v>
      </c>
      <c r="D31" s="369" t="s">
        <v>200</v>
      </c>
      <c r="E31" s="369" t="s">
        <v>201</v>
      </c>
      <c r="F31" s="369" t="s">
        <v>203</v>
      </c>
      <c r="G31" s="369" t="s">
        <v>202</v>
      </c>
      <c r="H31" s="369" t="s">
        <v>204</v>
      </c>
      <c r="I31" s="369" t="s">
        <v>205</v>
      </c>
      <c r="J31" s="369" t="s">
        <v>206</v>
      </c>
      <c r="K31" s="369" t="s">
        <v>244</v>
      </c>
      <c r="L31" s="369" t="s">
        <v>248</v>
      </c>
      <c r="M31" s="369" t="s">
        <v>453</v>
      </c>
      <c r="N31" s="369" t="s">
        <v>779</v>
      </c>
      <c r="O31" s="369" t="s">
        <v>780</v>
      </c>
      <c r="P31" s="369" t="s">
        <v>781</v>
      </c>
      <c r="Q31" s="369" t="s">
        <v>782</v>
      </c>
      <c r="R31" s="369" t="s">
        <v>783</v>
      </c>
      <c r="S31" s="369" t="s">
        <v>784</v>
      </c>
      <c r="T31" s="369" t="s">
        <v>787</v>
      </c>
    </row>
    <row r="32" spans="1:20">
      <c r="B32" s="377" t="s">
        <v>208</v>
      </c>
      <c r="C32" s="532" t="s">
        <v>195</v>
      </c>
      <c r="D32" s="369" t="s">
        <v>84</v>
      </c>
      <c r="E32" s="369" t="s">
        <v>83</v>
      </c>
      <c r="F32" s="369" t="s">
        <v>82</v>
      </c>
      <c r="G32" s="369" t="s">
        <v>74</v>
      </c>
      <c r="H32" s="369" t="s">
        <v>73</v>
      </c>
      <c r="I32" s="369" t="s">
        <v>93</v>
      </c>
      <c r="J32" s="369" t="s">
        <v>81</v>
      </c>
      <c r="K32" s="369" t="s">
        <v>80</v>
      </c>
      <c r="L32" s="369" t="s">
        <v>79</v>
      </c>
      <c r="M32" s="369" t="s">
        <v>85</v>
      </c>
      <c r="N32" s="369" t="s">
        <v>78</v>
      </c>
      <c r="O32" s="369" t="s">
        <v>77</v>
      </c>
      <c r="P32" s="369" t="s">
        <v>481</v>
      </c>
      <c r="Q32" s="530" t="s">
        <v>17</v>
      </c>
      <c r="R32" s="530" t="s">
        <v>778</v>
      </c>
      <c r="S32" s="530" t="s">
        <v>685</v>
      </c>
      <c r="T32" s="533" t="s">
        <v>13</v>
      </c>
    </row>
    <row r="33" spans="1:20">
      <c r="B33" s="377"/>
      <c r="C33" s="532"/>
      <c r="D33" s="369"/>
      <c r="E33" s="369"/>
      <c r="F33" s="369"/>
      <c r="G33" s="369"/>
      <c r="H33" s="369"/>
      <c r="I33" s="369"/>
      <c r="J33" s="369"/>
      <c r="K33" s="369"/>
      <c r="L33" s="369"/>
      <c r="M33" s="369"/>
      <c r="N33" s="369"/>
      <c r="O33" s="369"/>
      <c r="P33" s="534" t="s">
        <v>788</v>
      </c>
      <c r="T33" s="535" t="s">
        <v>1155</v>
      </c>
    </row>
    <row r="34" spans="1:20">
      <c r="A34" s="536">
        <f>A29+1</f>
        <v>22</v>
      </c>
      <c r="B34" s="954" t="s">
        <v>1529</v>
      </c>
      <c r="C34" s="955">
        <v>9817212.2800000012</v>
      </c>
      <c r="D34" s="955">
        <v>10327495.276169535</v>
      </c>
      <c r="E34" s="955">
        <v>10846039.871088997</v>
      </c>
      <c r="F34" s="955">
        <v>11362339.851258459</v>
      </c>
      <c r="G34" s="955">
        <v>11886440.881094588</v>
      </c>
      <c r="H34" s="955">
        <v>12420642.963180717</v>
      </c>
      <c r="I34" s="955">
        <v>12967117.147516847</v>
      </c>
      <c r="J34" s="955">
        <v>13526046.902436309</v>
      </c>
      <c r="K34" s="955">
        <v>14096567.416939104</v>
      </c>
      <c r="L34" s="955">
        <v>14678890.952358566</v>
      </c>
      <c r="M34" s="955">
        <v>15273686.762944695</v>
      </c>
      <c r="N34" s="955">
        <v>15880311.255364157</v>
      </c>
      <c r="O34" s="955">
        <v>16508919.389366953</v>
      </c>
      <c r="P34" s="537">
        <f>AVERAGE(C34:O34)</f>
        <v>13045516.226901459</v>
      </c>
      <c r="Q34" s="537"/>
      <c r="R34" s="537"/>
      <c r="S34" s="537">
        <f>P34</f>
        <v>13045516.226901459</v>
      </c>
      <c r="T34" s="537">
        <f>SUM(Q34:S34)</f>
        <v>13045516.226901459</v>
      </c>
    </row>
    <row r="35" spans="1:20">
      <c r="A35" s="536">
        <f>A34+1</f>
        <v>23</v>
      </c>
      <c r="B35" s="954" t="s">
        <v>776</v>
      </c>
      <c r="C35" s="955">
        <v>8342198.5099999998</v>
      </c>
      <c r="D35" s="955">
        <v>8524468.1199999992</v>
      </c>
      <c r="E35" s="955">
        <v>8706737.709999999</v>
      </c>
      <c r="F35" s="955">
        <v>8889007.2899999991</v>
      </c>
      <c r="G35" s="955">
        <v>9071276.8599999994</v>
      </c>
      <c r="H35" s="955">
        <v>9253546.4399999995</v>
      </c>
      <c r="I35" s="955">
        <v>9435816</v>
      </c>
      <c r="J35" s="955">
        <v>9618085.5700000003</v>
      </c>
      <c r="K35" s="955">
        <v>9800355.1300000008</v>
      </c>
      <c r="L35" s="955">
        <v>9982624.7000000011</v>
      </c>
      <c r="M35" s="955">
        <v>10164894.260000002</v>
      </c>
      <c r="N35" s="955">
        <v>10328784.940000001</v>
      </c>
      <c r="O35" s="955">
        <v>10474296.710000001</v>
      </c>
      <c r="P35" s="537">
        <f t="shared" ref="P35:P39" si="8">AVERAGE(C35:O35)</f>
        <v>9430160.9415384624</v>
      </c>
      <c r="Q35" s="537">
        <f>P35</f>
        <v>9430160.9415384624</v>
      </c>
      <c r="R35" s="537"/>
      <c r="S35" s="537"/>
      <c r="T35" s="537">
        <f t="shared" ref="T35:T52" si="9">SUM(Q35:S35)</f>
        <v>9430160.9415384624</v>
      </c>
    </row>
    <row r="36" spans="1:20">
      <c r="A36" s="536">
        <f t="shared" ref="A36:A54" si="10">A35+1</f>
        <v>24</v>
      </c>
      <c r="B36" s="954" t="s">
        <v>777</v>
      </c>
      <c r="C36" s="955">
        <v>1131679.53</v>
      </c>
      <c r="D36" s="955">
        <v>1156394.81</v>
      </c>
      <c r="E36" s="955">
        <v>1181110.08</v>
      </c>
      <c r="F36" s="955">
        <v>1205825.3600000001</v>
      </c>
      <c r="G36" s="955">
        <v>1230540.6300000001</v>
      </c>
      <c r="H36" s="955">
        <v>1255255.9100000001</v>
      </c>
      <c r="I36" s="955">
        <v>1279971.1800000002</v>
      </c>
      <c r="J36" s="955">
        <v>1304686.4500000002</v>
      </c>
      <c r="K36" s="955">
        <v>1329401.7300000002</v>
      </c>
      <c r="L36" s="955">
        <v>1354117.0000000002</v>
      </c>
      <c r="M36" s="955">
        <v>1378832.2700000003</v>
      </c>
      <c r="N36" s="955">
        <v>1401505.4400000002</v>
      </c>
      <c r="O36" s="955">
        <v>1422136.5200000003</v>
      </c>
      <c r="P36" s="537">
        <f t="shared" si="8"/>
        <v>1279342.8392307691</v>
      </c>
      <c r="Q36" s="537"/>
      <c r="R36" s="537">
        <f>P36</f>
        <v>1279342.8392307691</v>
      </c>
      <c r="S36" s="537"/>
      <c r="T36" s="537">
        <f t="shared" si="9"/>
        <v>1279342.8392307691</v>
      </c>
    </row>
    <row r="37" spans="1:20">
      <c r="A37" s="536">
        <f t="shared" si="10"/>
        <v>25</v>
      </c>
      <c r="B37" s="954" t="s">
        <v>789</v>
      </c>
      <c r="C37" s="955">
        <v>2231384.04</v>
      </c>
      <c r="D37" s="955">
        <v>2231384.04</v>
      </c>
      <c r="E37" s="955">
        <v>2231384.04</v>
      </c>
      <c r="F37" s="955">
        <v>2231384.04</v>
      </c>
      <c r="G37" s="955">
        <v>2231384.04</v>
      </c>
      <c r="H37" s="955">
        <v>2231384.04</v>
      </c>
      <c r="I37" s="955">
        <v>2231384.04</v>
      </c>
      <c r="J37" s="955">
        <v>2231384.04</v>
      </c>
      <c r="K37" s="955">
        <v>2231384.04</v>
      </c>
      <c r="L37" s="955">
        <v>2231384.04</v>
      </c>
      <c r="M37" s="955">
        <v>2231384.04</v>
      </c>
      <c r="N37" s="955">
        <v>2231384.04</v>
      </c>
      <c r="O37" s="955">
        <v>2231384.04</v>
      </c>
      <c r="P37" s="537">
        <f t="shared" si="8"/>
        <v>2231384.0399999996</v>
      </c>
      <c r="Q37" s="537"/>
      <c r="R37" s="537">
        <f>P37</f>
        <v>2231384.0399999996</v>
      </c>
      <c r="S37" s="537"/>
      <c r="T37" s="537">
        <f t="shared" si="9"/>
        <v>2231384.0399999996</v>
      </c>
    </row>
    <row r="38" spans="1:20">
      <c r="A38" s="536">
        <f t="shared" si="10"/>
        <v>26</v>
      </c>
      <c r="B38" s="954" t="s">
        <v>1560</v>
      </c>
      <c r="C38" s="955">
        <v>7148207.18138126</v>
      </c>
      <c r="D38" s="955">
        <v>7290074.7157769231</v>
      </c>
      <c r="E38" s="955">
        <v>7434443.930272961</v>
      </c>
      <c r="F38" s="955">
        <v>7581806.6510039158</v>
      </c>
      <c r="G38" s="955">
        <v>7732462.0070268288</v>
      </c>
      <c r="H38" s="955">
        <v>7886309.2902812008</v>
      </c>
      <c r="I38" s="955">
        <v>8043344.3017696142</v>
      </c>
      <c r="J38" s="955">
        <v>8203597.8865166111</v>
      </c>
      <c r="K38" s="955">
        <v>8366853.8384298161</v>
      </c>
      <c r="L38" s="955">
        <v>8533051.7901187297</v>
      </c>
      <c r="M38" s="955">
        <v>8702273.9264099766</v>
      </c>
      <c r="N38" s="955">
        <v>8874348.6415515561</v>
      </c>
      <c r="O38" s="955">
        <v>9049396.4042327609</v>
      </c>
      <c r="P38" s="537">
        <f t="shared" si="8"/>
        <v>8065090.0434440095</v>
      </c>
      <c r="Q38" s="537"/>
      <c r="R38" s="537">
        <f>P38</f>
        <v>8065090.0434440095</v>
      </c>
      <c r="S38" s="537"/>
      <c r="T38" s="537">
        <f t="shared" si="9"/>
        <v>8065090.0434440095</v>
      </c>
    </row>
    <row r="39" spans="1:20">
      <c r="A39" s="536">
        <f t="shared" si="10"/>
        <v>27</v>
      </c>
      <c r="B39" s="954" t="s">
        <v>818</v>
      </c>
      <c r="C39" s="955">
        <v>20319087.480000004</v>
      </c>
      <c r="D39" s="955">
        <v>20837983.950540002</v>
      </c>
      <c r="E39" s="955">
        <v>21354222.001080003</v>
      </c>
      <c r="F39" s="955">
        <v>21867801.601620004</v>
      </c>
      <c r="G39" s="955">
        <v>22375472.512160003</v>
      </c>
      <c r="H39" s="955">
        <v>22877234.722700004</v>
      </c>
      <c r="I39" s="955">
        <v>23378996.943240002</v>
      </c>
      <c r="J39" s="955">
        <v>23880759.153780002</v>
      </c>
      <c r="K39" s="955">
        <v>24377431.364320002</v>
      </c>
      <c r="L39" s="955">
        <v>24869013.564860001</v>
      </c>
      <c r="M39" s="955">
        <v>25360595.7654</v>
      </c>
      <c r="N39" s="955">
        <v>25852177.965939999</v>
      </c>
      <c r="O39" s="955">
        <v>26343760.166479997</v>
      </c>
      <c r="P39" s="537">
        <f t="shared" si="8"/>
        <v>23361118.245547693</v>
      </c>
      <c r="Q39" s="537"/>
      <c r="R39" s="537">
        <f>P39</f>
        <v>23361118.245547693</v>
      </c>
      <c r="S39" s="537"/>
      <c r="T39" s="537">
        <f t="shared" si="9"/>
        <v>23361118.245547693</v>
      </c>
    </row>
    <row r="40" spans="1:20">
      <c r="A40" s="536">
        <f t="shared" si="10"/>
        <v>28</v>
      </c>
      <c r="B40" s="954" t="s">
        <v>790</v>
      </c>
      <c r="C40" s="955">
        <v>75341752.739999995</v>
      </c>
      <c r="D40" s="955">
        <v>75537580.089857146</v>
      </c>
      <c r="E40" s="955">
        <v>75717825.099714294</v>
      </c>
      <c r="F40" s="955">
        <v>75881966.859571442</v>
      </c>
      <c r="G40" s="955">
        <v>76038977.529428586</v>
      </c>
      <c r="H40" s="955">
        <v>76185229.41928573</v>
      </c>
      <c r="I40" s="955">
        <v>76327332.529142871</v>
      </c>
      <c r="J40" s="955">
        <v>76469435.67900002</v>
      </c>
      <c r="K40" s="955">
        <v>76611538.788857162</v>
      </c>
      <c r="L40" s="955">
        <v>76753641.928714305</v>
      </c>
      <c r="M40" s="955">
        <v>76895745.038571447</v>
      </c>
      <c r="N40" s="955">
        <v>77037848.17842859</v>
      </c>
      <c r="O40" s="955">
        <v>77167441.808285728</v>
      </c>
      <c r="P40" s="537">
        <f t="shared" ref="P40:P41" si="11">AVERAGE(C40:O40)</f>
        <v>76305101.206835181</v>
      </c>
      <c r="Q40" s="537"/>
      <c r="R40" s="537">
        <f>P40</f>
        <v>76305101.206835181</v>
      </c>
      <c r="S40" s="537"/>
      <c r="T40" s="537">
        <f t="shared" si="9"/>
        <v>76305101.206835181</v>
      </c>
    </row>
    <row r="41" spans="1:20">
      <c r="A41" s="536">
        <f t="shared" si="10"/>
        <v>29</v>
      </c>
      <c r="B41" s="954" t="s">
        <v>1561</v>
      </c>
      <c r="C41" s="955">
        <v>4190528.63</v>
      </c>
      <c r="D41" s="955">
        <v>4453983.6950000003</v>
      </c>
      <c r="E41" s="955">
        <v>4717438.7600000007</v>
      </c>
      <c r="F41" s="955">
        <v>4980893.8250000011</v>
      </c>
      <c r="G41" s="955">
        <v>5244348.8900000015</v>
      </c>
      <c r="H41" s="955">
        <v>5507803.9550000019</v>
      </c>
      <c r="I41" s="955">
        <v>5771259.0200000023</v>
      </c>
      <c r="J41" s="955">
        <v>5771259.0200000023</v>
      </c>
      <c r="K41" s="955">
        <v>5771259.0200000023</v>
      </c>
      <c r="L41" s="955">
        <v>5771259.0200000023</v>
      </c>
      <c r="M41" s="955">
        <v>5771259.0200000023</v>
      </c>
      <c r="N41" s="955">
        <v>5771259.0200000023</v>
      </c>
      <c r="O41" s="955">
        <v>5771259.0200000023</v>
      </c>
      <c r="P41" s="537">
        <f t="shared" si="11"/>
        <v>5345677.7611538479</v>
      </c>
      <c r="Q41" s="537">
        <f>P41</f>
        <v>5345677.7611538479</v>
      </c>
      <c r="R41" s="537"/>
      <c r="S41" s="537"/>
      <c r="T41" s="537">
        <f t="shared" si="9"/>
        <v>5345677.7611538479</v>
      </c>
    </row>
    <row r="42" spans="1:20">
      <c r="A42" s="536">
        <f t="shared" si="10"/>
        <v>30</v>
      </c>
      <c r="B42" s="954" t="s">
        <v>1636</v>
      </c>
      <c r="C42" s="955">
        <v>67724.988618740157</v>
      </c>
      <c r="D42" s="955">
        <v>78584.110922812411</v>
      </c>
      <c r="E42" s="955">
        <v>89443.233226884666</v>
      </c>
      <c r="F42" s="955">
        <v>100302.35553095692</v>
      </c>
      <c r="G42" s="955">
        <v>111161.47783502917</v>
      </c>
      <c r="H42" s="955">
        <v>122020.60013910143</v>
      </c>
      <c r="I42" s="955">
        <v>132879.72244317367</v>
      </c>
      <c r="J42" s="955">
        <v>143738.84474724592</v>
      </c>
      <c r="K42" s="955">
        <v>154597.96705131818</v>
      </c>
      <c r="L42" s="955">
        <v>165457.08935539043</v>
      </c>
      <c r="M42" s="955">
        <v>176316.21165946269</v>
      </c>
      <c r="N42" s="955">
        <v>187175.33396353494</v>
      </c>
      <c r="O42" s="955">
        <v>198034.45626760719</v>
      </c>
      <c r="P42" s="537">
        <f t="shared" ref="P42" si="12">AVERAGE(C42:O42)</f>
        <v>132879.72244317367</v>
      </c>
      <c r="Q42" s="537">
        <f>P42</f>
        <v>132879.72244317367</v>
      </c>
      <c r="R42" s="537"/>
      <c r="S42" s="537"/>
      <c r="T42" s="537">
        <f t="shared" si="9"/>
        <v>132879.72244317367</v>
      </c>
    </row>
    <row r="43" spans="1:20">
      <c r="A43" s="536">
        <f t="shared" si="10"/>
        <v>31</v>
      </c>
      <c r="B43" s="954" t="s">
        <v>1649</v>
      </c>
      <c r="C43" s="955">
        <v>0</v>
      </c>
      <c r="D43" s="955">
        <v>644.09416987270833</v>
      </c>
      <c r="E43" s="955">
        <v>1386.8019049817917</v>
      </c>
      <c r="F43" s="955">
        <v>2300.3929484459586</v>
      </c>
      <c r="G43" s="955">
        <v>5035.7898518106667</v>
      </c>
      <c r="H43" s="955">
        <v>9537.2716250300437</v>
      </c>
      <c r="I43" s="955">
        <v>15802.515187733461</v>
      </c>
      <c r="J43" s="955">
        <v>23848.586961573212</v>
      </c>
      <c r="K43" s="955">
        <v>33555.860647800167</v>
      </c>
      <c r="L43" s="955">
        <v>44890.934595510793</v>
      </c>
      <c r="M43" s="955">
        <v>57899.281151810297</v>
      </c>
      <c r="N43" s="955">
        <v>72485.951159326258</v>
      </c>
      <c r="O43" s="955">
        <v>88717.598084075333</v>
      </c>
      <c r="P43" s="537">
        <f t="shared" ref="P43" si="13">AVERAGE(C43:O43)</f>
        <v>27392.698329843897</v>
      </c>
      <c r="Q43" s="537"/>
      <c r="R43" s="537">
        <f>P43</f>
        <v>27392.698329843897</v>
      </c>
      <c r="S43" s="537"/>
      <c r="T43" s="537">
        <f t="shared" si="9"/>
        <v>27392.698329843897</v>
      </c>
    </row>
    <row r="44" spans="1:20">
      <c r="A44" s="536">
        <f t="shared" si="10"/>
        <v>32</v>
      </c>
      <c r="B44" s="957"/>
      <c r="C44" s="957"/>
      <c r="D44" s="957"/>
      <c r="E44" s="957"/>
      <c r="F44" s="957"/>
      <c r="G44" s="957"/>
      <c r="H44" s="957"/>
      <c r="I44" s="958"/>
      <c r="J44" s="958"/>
      <c r="K44" s="958"/>
      <c r="L44" s="958"/>
      <c r="M44" s="958"/>
      <c r="N44" s="958"/>
      <c r="O44" s="958"/>
      <c r="P44" s="537"/>
      <c r="Q44" s="537"/>
      <c r="R44" s="537"/>
      <c r="S44" s="537"/>
      <c r="T44" s="537">
        <f t="shared" si="9"/>
        <v>0</v>
      </c>
    </row>
    <row r="45" spans="1:20">
      <c r="A45" s="536">
        <f t="shared" si="10"/>
        <v>33</v>
      </c>
      <c r="B45" s="957"/>
      <c r="C45" s="957"/>
      <c r="D45" s="957"/>
      <c r="E45" s="957"/>
      <c r="F45" s="957"/>
      <c r="G45" s="957"/>
      <c r="H45" s="957"/>
      <c r="I45" s="958"/>
      <c r="J45" s="958"/>
      <c r="K45" s="958"/>
      <c r="L45" s="958"/>
      <c r="M45" s="958"/>
      <c r="N45" s="958"/>
      <c r="O45" s="958"/>
      <c r="P45" s="537"/>
      <c r="Q45" s="537"/>
      <c r="R45" s="537"/>
      <c r="S45" s="537"/>
      <c r="T45" s="537">
        <f t="shared" si="9"/>
        <v>0</v>
      </c>
    </row>
    <row r="46" spans="1:20">
      <c r="A46" s="536">
        <f t="shared" si="10"/>
        <v>34</v>
      </c>
      <c r="B46" s="957"/>
      <c r="C46" s="957"/>
      <c r="D46" s="957"/>
      <c r="E46" s="957"/>
      <c r="F46" s="957"/>
      <c r="G46" s="957"/>
      <c r="H46" s="957"/>
      <c r="I46" s="958"/>
      <c r="J46" s="958"/>
      <c r="K46" s="958"/>
      <c r="L46" s="958"/>
      <c r="M46" s="958"/>
      <c r="N46" s="958"/>
      <c r="O46" s="958"/>
      <c r="P46" s="537"/>
      <c r="Q46" s="537"/>
      <c r="R46" s="537"/>
      <c r="S46" s="537"/>
      <c r="T46" s="537">
        <f t="shared" si="9"/>
        <v>0</v>
      </c>
    </row>
    <row r="47" spans="1:20">
      <c r="A47" s="536">
        <f t="shared" si="10"/>
        <v>35</v>
      </c>
      <c r="B47" s="958"/>
      <c r="C47" s="958"/>
      <c r="D47" s="958"/>
      <c r="E47" s="958"/>
      <c r="F47" s="958"/>
      <c r="G47" s="958"/>
      <c r="H47" s="958"/>
      <c r="I47" s="958"/>
      <c r="J47" s="958"/>
      <c r="K47" s="958"/>
      <c r="L47" s="958"/>
      <c r="M47" s="958"/>
      <c r="N47" s="958"/>
      <c r="O47" s="958"/>
      <c r="Q47" s="537"/>
      <c r="R47" s="537"/>
      <c r="S47" s="537"/>
      <c r="T47" s="537">
        <f t="shared" si="9"/>
        <v>0</v>
      </c>
    </row>
    <row r="48" spans="1:20">
      <c r="A48" s="536">
        <f t="shared" si="10"/>
        <v>36</v>
      </c>
      <c r="B48" s="957"/>
      <c r="C48" s="957"/>
      <c r="D48" s="957"/>
      <c r="E48" s="957"/>
      <c r="F48" s="957"/>
      <c r="G48" s="957"/>
      <c r="H48" s="957"/>
      <c r="I48" s="958"/>
      <c r="J48" s="958"/>
      <c r="K48" s="958"/>
      <c r="L48" s="958"/>
      <c r="M48" s="958"/>
      <c r="N48" s="958"/>
      <c r="O48" s="958"/>
      <c r="Q48" s="537"/>
      <c r="R48" s="537"/>
      <c r="S48" s="537"/>
      <c r="T48" s="537">
        <f t="shared" si="9"/>
        <v>0</v>
      </c>
    </row>
    <row r="49" spans="1:20">
      <c r="A49" s="536">
        <f t="shared" si="10"/>
        <v>37</v>
      </c>
      <c r="B49" s="958"/>
      <c r="C49" s="958"/>
      <c r="D49" s="958"/>
      <c r="E49" s="958"/>
      <c r="F49" s="958"/>
      <c r="G49" s="958"/>
      <c r="H49" s="958"/>
      <c r="I49" s="958"/>
      <c r="J49" s="958"/>
      <c r="K49" s="958"/>
      <c r="L49" s="958"/>
      <c r="M49" s="958"/>
      <c r="N49" s="958"/>
      <c r="O49" s="958"/>
      <c r="Q49" s="537"/>
      <c r="R49" s="537"/>
      <c r="S49" s="537"/>
      <c r="T49" s="537">
        <f t="shared" si="9"/>
        <v>0</v>
      </c>
    </row>
    <row r="50" spans="1:20">
      <c r="A50" s="536">
        <f t="shared" si="10"/>
        <v>38</v>
      </c>
      <c r="B50" s="958"/>
      <c r="C50" s="958"/>
      <c r="D50" s="958"/>
      <c r="E50" s="958"/>
      <c r="F50" s="958"/>
      <c r="G50" s="958"/>
      <c r="H50" s="958"/>
      <c r="I50" s="958"/>
      <c r="J50" s="958"/>
      <c r="K50" s="958"/>
      <c r="L50" s="958"/>
      <c r="M50" s="958"/>
      <c r="N50" s="958"/>
      <c r="O50" s="958"/>
      <c r="Q50" s="537"/>
      <c r="R50" s="537"/>
      <c r="S50" s="537"/>
      <c r="T50" s="537">
        <f t="shared" si="9"/>
        <v>0</v>
      </c>
    </row>
    <row r="51" spans="1:20">
      <c r="A51" s="536">
        <f t="shared" si="10"/>
        <v>39</v>
      </c>
      <c r="B51" s="958"/>
      <c r="C51" s="958"/>
      <c r="D51" s="958"/>
      <c r="E51" s="958"/>
      <c r="F51" s="958"/>
      <c r="G51" s="958"/>
      <c r="H51" s="958"/>
      <c r="I51" s="958"/>
      <c r="J51" s="958"/>
      <c r="K51" s="958"/>
      <c r="L51" s="958"/>
      <c r="M51" s="958"/>
      <c r="N51" s="958"/>
      <c r="O51" s="958"/>
      <c r="Q51" s="537"/>
      <c r="R51" s="537"/>
      <c r="S51" s="537"/>
      <c r="T51" s="537">
        <f t="shared" si="9"/>
        <v>0</v>
      </c>
    </row>
    <row r="52" spans="1:20">
      <c r="A52" s="536">
        <f t="shared" si="10"/>
        <v>40</v>
      </c>
      <c r="B52" s="369" t="s">
        <v>13</v>
      </c>
      <c r="C52" s="537">
        <f>SUM(C34:C51)</f>
        <v>128589775.38</v>
      </c>
      <c r="D52" s="537">
        <f t="shared" ref="D52" si="14">SUM(D34:D51)</f>
        <v>130438592.9024363</v>
      </c>
      <c r="E52" s="537">
        <f t="shared" ref="E52" si="15">SUM(E34:E51)</f>
        <v>132280031.52728811</v>
      </c>
      <c r="F52" s="537">
        <f t="shared" ref="F52" si="16">SUM(F34:F51)</f>
        <v>134103628.22693323</v>
      </c>
      <c r="G52" s="537">
        <f t="shared" ref="G52" si="17">SUM(G34:G51)</f>
        <v>135927100.61739686</v>
      </c>
      <c r="H52" s="537">
        <f t="shared" ref="H52" si="18">SUM(H34:H51)</f>
        <v>137748964.61221182</v>
      </c>
      <c r="I52" s="537">
        <f t="shared" ref="I52" si="19">SUM(I34:I51)</f>
        <v>139583903.39930025</v>
      </c>
      <c r="J52" s="537">
        <f t="shared" ref="J52" si="20">SUM(J34:J51)</f>
        <v>141172842.13344178</v>
      </c>
      <c r="K52" s="537">
        <f t="shared" ref="K52" si="21">SUM(K34:K51)</f>
        <v>142772945.15624523</v>
      </c>
      <c r="L52" s="537">
        <f t="shared" ref="L52" si="22">SUM(L34:L51)</f>
        <v>144384331.02000251</v>
      </c>
      <c r="M52" s="537">
        <f t="shared" ref="M52" si="23">SUM(M34:M51)</f>
        <v>146012886.57613739</v>
      </c>
      <c r="N52" s="537">
        <f t="shared" ref="N52" si="24">SUM(N34:N51)</f>
        <v>147637280.76640719</v>
      </c>
      <c r="O52" s="537">
        <f t="shared" ref="O52" si="25">SUM(O34:O51)</f>
        <v>149255346.11271709</v>
      </c>
      <c r="P52" s="537">
        <f>AVERAGE(C52:O52)</f>
        <v>139223663.72542447</v>
      </c>
      <c r="Q52" s="537">
        <f>SUM(Q34:Q51)</f>
        <v>14908718.425135486</v>
      </c>
      <c r="R52" s="537">
        <f>SUM(R34:R51)</f>
        <v>111269429.0733875</v>
      </c>
      <c r="S52" s="537">
        <f>SUM(S34:S51)</f>
        <v>13045516.226901459</v>
      </c>
      <c r="T52" s="537">
        <f t="shared" si="9"/>
        <v>139223663.72542447</v>
      </c>
    </row>
    <row r="53" spans="1:20">
      <c r="A53" s="536">
        <f t="shared" si="10"/>
        <v>41</v>
      </c>
      <c r="B53" s="369"/>
      <c r="C53" s="537"/>
      <c r="D53" s="537"/>
      <c r="E53" s="537"/>
      <c r="F53" s="537"/>
      <c r="G53" s="537"/>
      <c r="H53" s="537"/>
      <c r="I53" s="537"/>
      <c r="J53" s="537"/>
      <c r="K53" s="537"/>
      <c r="L53" s="537"/>
      <c r="M53" s="537"/>
      <c r="N53" s="537"/>
      <c r="O53" s="537"/>
      <c r="P53" s="538" t="s">
        <v>698</v>
      </c>
      <c r="Q53" s="539">
        <f>Q28</f>
        <v>1</v>
      </c>
      <c r="R53" s="539">
        <f t="shared" ref="R53:S53" si="26">R28</f>
        <v>0</v>
      </c>
      <c r="S53" s="539">
        <f t="shared" si="26"/>
        <v>9.4490855863003556E-2</v>
      </c>
      <c r="T53" s="537"/>
    </row>
    <row r="54" spans="1:20">
      <c r="A54" s="536">
        <f t="shared" si="10"/>
        <v>42</v>
      </c>
      <c r="B54" s="369"/>
      <c r="C54" s="537"/>
      <c r="D54" s="537"/>
      <c r="E54" s="537"/>
      <c r="F54" s="537"/>
      <c r="G54" s="537"/>
      <c r="H54" s="537"/>
      <c r="I54" s="537"/>
      <c r="J54" s="537"/>
      <c r="K54" s="537"/>
      <c r="L54" s="537"/>
      <c r="M54" s="537"/>
      <c r="N54" s="537"/>
      <c r="O54" s="537"/>
      <c r="P54" s="538" t="s">
        <v>786</v>
      </c>
      <c r="Q54" s="537">
        <f>Q52*Q53</f>
        <v>14908718.425135486</v>
      </c>
      <c r="R54" s="537">
        <f t="shared" ref="R54" si="27">R52*R53</f>
        <v>0</v>
      </c>
      <c r="S54" s="537">
        <f t="shared" ref="S54" si="28">S52*S53</f>
        <v>1232681.9934546198</v>
      </c>
      <c r="T54" s="537">
        <f>SUM(Q54:S54)</f>
        <v>16141400.418590106</v>
      </c>
    </row>
    <row r="55" spans="1:20">
      <c r="C55" s="531" t="str">
        <f>B1</f>
        <v>PECO Energy Company</v>
      </c>
    </row>
    <row r="56" spans="1:20">
      <c r="B56" s="1061"/>
      <c r="C56" s="1061"/>
      <c r="D56" s="1061"/>
      <c r="E56" s="1061"/>
      <c r="F56" s="1061"/>
      <c r="G56" s="1061"/>
      <c r="H56" s="1061"/>
      <c r="T56" s="530" t="s">
        <v>154</v>
      </c>
    </row>
    <row r="57" spans="1:20">
      <c r="B57" s="1060" t="s">
        <v>652</v>
      </c>
      <c r="C57" s="1060"/>
      <c r="D57" s="1060"/>
      <c r="E57" s="1060"/>
      <c r="F57" s="1060"/>
      <c r="G57" s="1060"/>
    </row>
    <row r="59" spans="1:20">
      <c r="B59" s="369" t="s">
        <v>198</v>
      </c>
      <c r="C59" s="369" t="s">
        <v>199</v>
      </c>
      <c r="D59" s="369" t="s">
        <v>200</v>
      </c>
      <c r="E59" s="369" t="s">
        <v>201</v>
      </c>
      <c r="F59" s="369" t="s">
        <v>203</v>
      </c>
      <c r="G59" s="369" t="s">
        <v>202</v>
      </c>
      <c r="H59" s="369" t="s">
        <v>204</v>
      </c>
      <c r="I59" s="369" t="s">
        <v>205</v>
      </c>
      <c r="J59" s="369" t="s">
        <v>206</v>
      </c>
      <c r="K59" s="369" t="s">
        <v>244</v>
      </c>
      <c r="L59" s="369" t="s">
        <v>248</v>
      </c>
      <c r="M59" s="369" t="s">
        <v>453</v>
      </c>
      <c r="N59" s="369" t="s">
        <v>779</v>
      </c>
      <c r="O59" s="369" t="s">
        <v>780</v>
      </c>
      <c r="P59" s="369" t="s">
        <v>781</v>
      </c>
      <c r="Q59" s="369" t="s">
        <v>782</v>
      </c>
      <c r="R59" s="369" t="s">
        <v>783</v>
      </c>
      <c r="S59" s="369" t="s">
        <v>784</v>
      </c>
      <c r="T59" s="369" t="s">
        <v>787</v>
      </c>
    </row>
    <row r="60" spans="1:20">
      <c r="B60" s="377" t="s">
        <v>785</v>
      </c>
      <c r="C60" s="532" t="s">
        <v>195</v>
      </c>
      <c r="D60" s="369" t="s">
        <v>84</v>
      </c>
      <c r="E60" s="369" t="s">
        <v>83</v>
      </c>
      <c r="F60" s="369" t="s">
        <v>82</v>
      </c>
      <c r="G60" s="369" t="s">
        <v>74</v>
      </c>
      <c r="H60" s="369" t="s">
        <v>73</v>
      </c>
      <c r="I60" s="369" t="s">
        <v>93</v>
      </c>
      <c r="J60" s="369" t="s">
        <v>81</v>
      </c>
      <c r="K60" s="369" t="s">
        <v>80</v>
      </c>
      <c r="L60" s="369" t="s">
        <v>79</v>
      </c>
      <c r="M60" s="369" t="s">
        <v>85</v>
      </c>
      <c r="N60" s="369" t="s">
        <v>78</v>
      </c>
      <c r="O60" s="369" t="s">
        <v>77</v>
      </c>
      <c r="P60" s="369" t="s">
        <v>481</v>
      </c>
      <c r="Q60" s="530" t="s">
        <v>17</v>
      </c>
      <c r="R60" s="530" t="s">
        <v>778</v>
      </c>
      <c r="S60" s="530" t="s">
        <v>685</v>
      </c>
      <c r="T60" s="533" t="s">
        <v>13</v>
      </c>
    </row>
    <row r="61" spans="1:20">
      <c r="B61" s="377" t="str">
        <f>B7&amp;" Minus "&amp;B32</f>
        <v>Gross Plant Minus Accumulated Depreciation</v>
      </c>
      <c r="C61" s="532"/>
      <c r="D61" s="369"/>
      <c r="E61" s="369"/>
      <c r="F61" s="369"/>
      <c r="G61" s="369"/>
      <c r="H61" s="369"/>
      <c r="I61" s="369"/>
      <c r="J61" s="369"/>
      <c r="K61" s="369"/>
      <c r="L61" s="369"/>
      <c r="M61" s="369"/>
      <c r="N61" s="369"/>
      <c r="O61" s="369"/>
      <c r="P61" s="534" t="s">
        <v>788</v>
      </c>
      <c r="T61" s="535" t="s">
        <v>1155</v>
      </c>
    </row>
    <row r="62" spans="1:20">
      <c r="A62" s="536">
        <f>A54+1</f>
        <v>43</v>
      </c>
      <c r="B62" s="954" t="s">
        <v>1529</v>
      </c>
      <c r="C62" s="540">
        <f t="shared" ref="C62:C79" si="29">C9-C34</f>
        <v>8064039.1099999994</v>
      </c>
      <c r="D62" s="540">
        <f t="shared" ref="D62:O62" si="30">D9-D34</f>
        <v>13618214.093821965</v>
      </c>
      <c r="E62" s="540">
        <f t="shared" si="30"/>
        <v>13710542.568902504</v>
      </c>
      <c r="F62" s="540">
        <f t="shared" si="30"/>
        <v>13998034.548733043</v>
      </c>
      <c r="G62" s="540">
        <f t="shared" si="30"/>
        <v>14245779.918896912</v>
      </c>
      <c r="H62" s="540">
        <f t="shared" si="30"/>
        <v>14416257.306810781</v>
      </c>
      <c r="I62" s="540">
        <f t="shared" si="30"/>
        <v>14637759.52247465</v>
      </c>
      <c r="J62" s="540">
        <f t="shared" si="30"/>
        <v>14805519.43755519</v>
      </c>
      <c r="K62" s="540">
        <f t="shared" si="30"/>
        <v>14899202.803052394</v>
      </c>
      <c r="L62" s="540">
        <f t="shared" si="30"/>
        <v>15069035.497632932</v>
      </c>
      <c r="M62" s="540">
        <f t="shared" si="30"/>
        <v>15218758.877046805</v>
      </c>
      <c r="N62" s="540">
        <f t="shared" si="30"/>
        <v>15287054.614627343</v>
      </c>
      <c r="O62" s="540">
        <f t="shared" si="30"/>
        <v>17056166.040624544</v>
      </c>
      <c r="P62" s="537">
        <f>AVERAGE(C62:O62)</f>
        <v>14232797.256936848</v>
      </c>
      <c r="Q62" s="537"/>
      <c r="R62" s="537"/>
      <c r="S62" s="537">
        <f>P62</f>
        <v>14232797.256936848</v>
      </c>
      <c r="T62" s="537">
        <f>SUM(Q62:S62)</f>
        <v>14232797.256936848</v>
      </c>
    </row>
    <row r="63" spans="1:20">
      <c r="A63" s="536">
        <f>A62+1</f>
        <v>44</v>
      </c>
      <c r="B63" s="954" t="s">
        <v>776</v>
      </c>
      <c r="C63" s="540">
        <f t="shared" si="29"/>
        <v>2625592.7799999993</v>
      </c>
      <c r="D63" s="540">
        <f t="shared" ref="D63:O63" si="31">D10-D35</f>
        <v>2443323.17</v>
      </c>
      <c r="E63" s="540">
        <f t="shared" si="31"/>
        <v>2261053.58</v>
      </c>
      <c r="F63" s="540">
        <f t="shared" si="31"/>
        <v>2078784</v>
      </c>
      <c r="G63" s="540">
        <f t="shared" si="31"/>
        <v>1896514.4299999997</v>
      </c>
      <c r="H63" s="540">
        <f t="shared" si="31"/>
        <v>1714244.8499999996</v>
      </c>
      <c r="I63" s="540">
        <f t="shared" si="31"/>
        <v>1531975.2899999991</v>
      </c>
      <c r="J63" s="540">
        <f t="shared" si="31"/>
        <v>1349705.7199999988</v>
      </c>
      <c r="K63" s="540">
        <f t="shared" si="31"/>
        <v>1167436.1599999983</v>
      </c>
      <c r="L63" s="540">
        <f t="shared" si="31"/>
        <v>985166.58999999799</v>
      </c>
      <c r="M63" s="540">
        <f t="shared" si="31"/>
        <v>802897.02999999747</v>
      </c>
      <c r="N63" s="540">
        <f t="shared" si="31"/>
        <v>639006.34999999776</v>
      </c>
      <c r="O63" s="540">
        <f t="shared" si="31"/>
        <v>493494.57999999821</v>
      </c>
      <c r="P63" s="537">
        <f t="shared" ref="P63:P70" si="32">AVERAGE(C63:O63)</f>
        <v>1537630.3484615374</v>
      </c>
      <c r="Q63" s="537">
        <f>P63</f>
        <v>1537630.3484615374</v>
      </c>
      <c r="R63" s="537"/>
      <c r="S63" s="537"/>
      <c r="T63" s="537">
        <f t="shared" ref="T63:T79" si="33">SUM(Q63:S63)</f>
        <v>1537630.3484615374</v>
      </c>
    </row>
    <row r="64" spans="1:20">
      <c r="A64" s="536">
        <f t="shared" ref="A64:A82" si="34">A63+1</f>
        <v>45</v>
      </c>
      <c r="B64" s="954" t="s">
        <v>777</v>
      </c>
      <c r="C64" s="540">
        <f t="shared" si="29"/>
        <v>354750.88000000012</v>
      </c>
      <c r="D64" s="540">
        <f t="shared" ref="D64:O64" si="35">D11-D36</f>
        <v>330035.60000000009</v>
      </c>
      <c r="E64" s="540">
        <f t="shared" si="35"/>
        <v>305320.33000000007</v>
      </c>
      <c r="F64" s="540">
        <f t="shared" si="35"/>
        <v>280605.05000000005</v>
      </c>
      <c r="G64" s="540">
        <f t="shared" si="35"/>
        <v>255889.78000000003</v>
      </c>
      <c r="H64" s="540">
        <f t="shared" si="35"/>
        <v>231174.5</v>
      </c>
      <c r="I64" s="540">
        <f t="shared" si="35"/>
        <v>206459.22999999998</v>
      </c>
      <c r="J64" s="540">
        <f t="shared" si="35"/>
        <v>181743.95999999996</v>
      </c>
      <c r="K64" s="540">
        <f t="shared" si="35"/>
        <v>157028.67999999993</v>
      </c>
      <c r="L64" s="540">
        <f t="shared" si="35"/>
        <v>132313.40999999992</v>
      </c>
      <c r="M64" s="540">
        <f t="shared" si="35"/>
        <v>107598.1399999999</v>
      </c>
      <c r="N64" s="540">
        <f t="shared" si="35"/>
        <v>84924.969999999972</v>
      </c>
      <c r="O64" s="540">
        <f t="shared" si="35"/>
        <v>64293.889999999898</v>
      </c>
      <c r="P64" s="537">
        <f t="shared" si="32"/>
        <v>207087.57076923069</v>
      </c>
      <c r="Q64" s="537"/>
      <c r="R64" s="537">
        <f>P64</f>
        <v>207087.57076923069</v>
      </c>
      <c r="S64" s="537"/>
      <c r="T64" s="537">
        <f t="shared" si="33"/>
        <v>207087.57076923069</v>
      </c>
    </row>
    <row r="65" spans="1:20">
      <c r="A65" s="536">
        <f t="shared" si="34"/>
        <v>46</v>
      </c>
      <c r="B65" s="954" t="s">
        <v>789</v>
      </c>
      <c r="C65" s="540">
        <f t="shared" si="29"/>
        <v>0</v>
      </c>
      <c r="D65" s="540">
        <f t="shared" ref="D65:O65" si="36">D12-D37</f>
        <v>0</v>
      </c>
      <c r="E65" s="540">
        <f t="shared" si="36"/>
        <v>0</v>
      </c>
      <c r="F65" s="540">
        <f t="shared" si="36"/>
        <v>0</v>
      </c>
      <c r="G65" s="540">
        <f t="shared" si="36"/>
        <v>0</v>
      </c>
      <c r="H65" s="540">
        <f t="shared" si="36"/>
        <v>0</v>
      </c>
      <c r="I65" s="540">
        <f t="shared" si="36"/>
        <v>0</v>
      </c>
      <c r="J65" s="540">
        <f t="shared" si="36"/>
        <v>0</v>
      </c>
      <c r="K65" s="540">
        <f t="shared" si="36"/>
        <v>0</v>
      </c>
      <c r="L65" s="540">
        <f t="shared" si="36"/>
        <v>0</v>
      </c>
      <c r="M65" s="540">
        <f t="shared" si="36"/>
        <v>0</v>
      </c>
      <c r="N65" s="540">
        <f t="shared" si="36"/>
        <v>0</v>
      </c>
      <c r="O65" s="540">
        <f t="shared" si="36"/>
        <v>0</v>
      </c>
      <c r="P65" s="537">
        <f t="shared" si="32"/>
        <v>0</v>
      </c>
      <c r="Q65" s="537"/>
      <c r="R65" s="537">
        <f>P65</f>
        <v>0</v>
      </c>
      <c r="S65" s="537"/>
      <c r="T65" s="537">
        <f t="shared" si="33"/>
        <v>0</v>
      </c>
    </row>
    <row r="66" spans="1:20">
      <c r="A66" s="536">
        <f t="shared" si="34"/>
        <v>47</v>
      </c>
      <c r="B66" s="954" t="s">
        <v>1560</v>
      </c>
      <c r="C66" s="540">
        <f t="shared" si="29"/>
        <v>19843239.119989842</v>
      </c>
      <c r="D66" s="540">
        <f t="shared" ref="D66:O66" si="37">D13-D38</f>
        <v>19896083.965594176</v>
      </c>
      <c r="E66" s="540">
        <f t="shared" si="37"/>
        <v>19977158.581098139</v>
      </c>
      <c r="F66" s="540">
        <f t="shared" si="37"/>
        <v>20107110.250367183</v>
      </c>
      <c r="G66" s="540">
        <f t="shared" si="37"/>
        <v>20232137.334344272</v>
      </c>
      <c r="H66" s="540">
        <f t="shared" si="37"/>
        <v>20338690.561089903</v>
      </c>
      <c r="I66" s="540">
        <f t="shared" si="37"/>
        <v>20456632.769601487</v>
      </c>
      <c r="J66" s="540">
        <f t="shared" si="37"/>
        <v>20561960.104854491</v>
      </c>
      <c r="K66" s="540">
        <f t="shared" si="37"/>
        <v>20637369.642941285</v>
      </c>
      <c r="L66" s="540">
        <f t="shared" si="37"/>
        <v>20726613.931252368</v>
      </c>
      <c r="M66" s="540">
        <f t="shared" si="37"/>
        <v>20809860.194961123</v>
      </c>
      <c r="N66" s="540">
        <f t="shared" si="37"/>
        <v>20864406.599819541</v>
      </c>
      <c r="O66" s="540">
        <f t="shared" si="37"/>
        <v>20962059.90713834</v>
      </c>
      <c r="P66" s="537">
        <f t="shared" si="32"/>
        <v>20416409.458696321</v>
      </c>
      <c r="Q66" s="537"/>
      <c r="R66" s="537">
        <f>P66</f>
        <v>20416409.458696321</v>
      </c>
      <c r="S66" s="537"/>
      <c r="T66" s="537">
        <f t="shared" si="33"/>
        <v>20416409.458696321</v>
      </c>
    </row>
    <row r="67" spans="1:20">
      <c r="A67" s="536">
        <f t="shared" si="34"/>
        <v>48</v>
      </c>
      <c r="B67" s="954" t="s">
        <v>818</v>
      </c>
      <c r="C67" s="540">
        <f t="shared" si="29"/>
        <v>9818287.5599999949</v>
      </c>
      <c r="D67" s="540">
        <f t="shared" ref="D67:O67" si="38">D14-D39</f>
        <v>9299391.0894599967</v>
      </c>
      <c r="E67" s="540">
        <f t="shared" si="38"/>
        <v>8783153.0389199965</v>
      </c>
      <c r="F67" s="540">
        <f t="shared" si="38"/>
        <v>8269573.4383799955</v>
      </c>
      <c r="G67" s="540">
        <f t="shared" si="38"/>
        <v>7761902.5278399959</v>
      </c>
      <c r="H67" s="540">
        <f t="shared" si="38"/>
        <v>7260140.3172999956</v>
      </c>
      <c r="I67" s="540">
        <f t="shared" si="38"/>
        <v>6758378.0967599973</v>
      </c>
      <c r="J67" s="540">
        <f t="shared" si="38"/>
        <v>6256615.886219997</v>
      </c>
      <c r="K67" s="540">
        <f t="shared" si="38"/>
        <v>5759943.6756799966</v>
      </c>
      <c r="L67" s="540">
        <f t="shared" si="38"/>
        <v>5268361.4751399979</v>
      </c>
      <c r="M67" s="540">
        <f t="shared" si="38"/>
        <v>4776779.2745999992</v>
      </c>
      <c r="N67" s="540">
        <f t="shared" si="38"/>
        <v>4285197.0740600005</v>
      </c>
      <c r="O67" s="540">
        <f t="shared" si="38"/>
        <v>3793614.8735200018</v>
      </c>
      <c r="P67" s="537">
        <f t="shared" si="32"/>
        <v>6776256.794452304</v>
      </c>
      <c r="Q67" s="537"/>
      <c r="R67" s="537">
        <f>P67</f>
        <v>6776256.794452304</v>
      </c>
      <c r="S67" s="537"/>
      <c r="T67" s="537">
        <f t="shared" si="33"/>
        <v>6776256.794452304</v>
      </c>
    </row>
    <row r="68" spans="1:20">
      <c r="A68" s="536">
        <f t="shared" si="34"/>
        <v>49</v>
      </c>
      <c r="B68" s="954" t="s">
        <v>790</v>
      </c>
      <c r="C68" s="540">
        <f t="shared" si="29"/>
        <v>10768329.850000009</v>
      </c>
      <c r="D68" s="540">
        <f t="shared" ref="D68:O68" si="39">D15-D40</f>
        <v>10572502.500142857</v>
      </c>
      <c r="E68" s="540">
        <f t="shared" si="39"/>
        <v>10392257.49028571</v>
      </c>
      <c r="F68" s="540">
        <f t="shared" si="39"/>
        <v>10228115.730428562</v>
      </c>
      <c r="G68" s="540">
        <f t="shared" si="39"/>
        <v>10071105.060571417</v>
      </c>
      <c r="H68" s="540">
        <f t="shared" si="39"/>
        <v>9924853.170714274</v>
      </c>
      <c r="I68" s="540">
        <f t="shared" si="39"/>
        <v>9782750.0608571321</v>
      </c>
      <c r="J68" s="540">
        <f t="shared" si="39"/>
        <v>9640646.9109999835</v>
      </c>
      <c r="K68" s="540">
        <f t="shared" si="39"/>
        <v>9498543.8011428416</v>
      </c>
      <c r="L68" s="540">
        <f t="shared" si="39"/>
        <v>9356440.6612856984</v>
      </c>
      <c r="M68" s="540">
        <f t="shared" si="39"/>
        <v>9214337.5514285564</v>
      </c>
      <c r="N68" s="540">
        <f t="shared" si="39"/>
        <v>9072234.4115714133</v>
      </c>
      <c r="O68" s="540">
        <f t="shared" si="39"/>
        <v>8942640.7817142755</v>
      </c>
      <c r="P68" s="537">
        <f t="shared" si="32"/>
        <v>9804981.3831648249</v>
      </c>
      <c r="Q68" s="537"/>
      <c r="R68" s="537">
        <f>P68</f>
        <v>9804981.3831648249</v>
      </c>
      <c r="S68" s="537"/>
      <c r="T68" s="537">
        <f t="shared" si="33"/>
        <v>9804981.3831648249</v>
      </c>
    </row>
    <row r="69" spans="1:20">
      <c r="A69" s="536">
        <f t="shared" si="34"/>
        <v>50</v>
      </c>
      <c r="B69" s="954" t="s">
        <v>1561</v>
      </c>
      <c r="C69" s="540">
        <f t="shared" si="29"/>
        <v>1580730.3899999997</v>
      </c>
      <c r="D69" s="540">
        <f t="shared" ref="D69:O69" si="40">D16-D41</f>
        <v>1317275.3249999993</v>
      </c>
      <c r="E69" s="540">
        <f t="shared" si="40"/>
        <v>1053820.2599999988</v>
      </c>
      <c r="F69" s="540">
        <f t="shared" si="40"/>
        <v>790365.19499999844</v>
      </c>
      <c r="G69" s="540">
        <f t="shared" si="40"/>
        <v>526910.12999999803</v>
      </c>
      <c r="H69" s="540">
        <f t="shared" si="40"/>
        <v>263455.06499999762</v>
      </c>
      <c r="I69" s="540">
        <f t="shared" si="40"/>
        <v>0</v>
      </c>
      <c r="J69" s="540">
        <f t="shared" si="40"/>
        <v>0</v>
      </c>
      <c r="K69" s="540">
        <f t="shared" si="40"/>
        <v>0</v>
      </c>
      <c r="L69" s="540">
        <f t="shared" si="40"/>
        <v>0</v>
      </c>
      <c r="M69" s="540">
        <f t="shared" si="40"/>
        <v>0</v>
      </c>
      <c r="N69" s="540">
        <f t="shared" si="40"/>
        <v>0</v>
      </c>
      <c r="O69" s="540">
        <f t="shared" si="40"/>
        <v>0</v>
      </c>
      <c r="P69" s="537">
        <f t="shared" si="32"/>
        <v>425581.25884615321</v>
      </c>
      <c r="Q69" s="537">
        <f>P69</f>
        <v>425581.25884615321</v>
      </c>
      <c r="R69" s="537"/>
      <c r="S69" s="537"/>
      <c r="T69" s="537">
        <f t="shared" si="33"/>
        <v>425581.25884615321</v>
      </c>
    </row>
    <row r="70" spans="1:20">
      <c r="A70" s="536">
        <f t="shared" si="34"/>
        <v>51</v>
      </c>
      <c r="B70" s="954" t="s">
        <v>1636</v>
      </c>
      <c r="C70" s="540">
        <f t="shared" si="29"/>
        <v>879474.00001015828</v>
      </c>
      <c r="D70" s="540">
        <f t="shared" ref="D70:O70" si="41">D17-D42</f>
        <v>868614.87770608603</v>
      </c>
      <c r="E70" s="540">
        <f t="shared" si="41"/>
        <v>857755.75540201378</v>
      </c>
      <c r="F70" s="540">
        <f t="shared" si="41"/>
        <v>846896.63309794152</v>
      </c>
      <c r="G70" s="540">
        <f t="shared" si="41"/>
        <v>836037.51079386927</v>
      </c>
      <c r="H70" s="540">
        <f t="shared" si="41"/>
        <v>825178.38848979701</v>
      </c>
      <c r="I70" s="540">
        <f t="shared" si="41"/>
        <v>814319.26618572476</v>
      </c>
      <c r="J70" s="540">
        <f t="shared" si="41"/>
        <v>803460.1438816525</v>
      </c>
      <c r="K70" s="540">
        <f t="shared" si="41"/>
        <v>792601.02157758025</v>
      </c>
      <c r="L70" s="540">
        <f t="shared" si="41"/>
        <v>781741.899273508</v>
      </c>
      <c r="M70" s="540">
        <f t="shared" si="41"/>
        <v>770882.77696943574</v>
      </c>
      <c r="N70" s="540">
        <f t="shared" si="41"/>
        <v>760023.65466536349</v>
      </c>
      <c r="O70" s="540">
        <f t="shared" si="41"/>
        <v>749164.53236129123</v>
      </c>
      <c r="P70" s="537">
        <f t="shared" si="32"/>
        <v>814319.26618572487</v>
      </c>
      <c r="Q70" s="537">
        <f>P70</f>
        <v>814319.26618572487</v>
      </c>
      <c r="R70" s="537">
        <f>P70</f>
        <v>814319.26618572487</v>
      </c>
      <c r="S70" s="537"/>
      <c r="T70" s="537">
        <f t="shared" si="33"/>
        <v>1628638.5323714497</v>
      </c>
    </row>
    <row r="71" spans="1:20">
      <c r="A71" s="536">
        <f t="shared" si="34"/>
        <v>52</v>
      </c>
      <c r="B71" s="954" t="s">
        <v>1649</v>
      </c>
      <c r="C71" s="540">
        <f t="shared" si="29"/>
        <v>0</v>
      </c>
      <c r="D71" s="540">
        <f t="shared" ref="D71:O71" si="42">D18-D43</f>
        <v>153938.50659957732</v>
      </c>
      <c r="E71" s="540">
        <f t="shared" si="42"/>
        <v>331445.65529064828</v>
      </c>
      <c r="F71" s="540">
        <f t="shared" si="42"/>
        <v>549793.91467858409</v>
      </c>
      <c r="G71" s="540">
        <f t="shared" si="42"/>
        <v>765030.07371994946</v>
      </c>
      <c r="H71" s="540">
        <f t="shared" si="42"/>
        <v>966417.40476712002</v>
      </c>
      <c r="I71" s="540">
        <f t="shared" si="42"/>
        <v>1177566.1778601964</v>
      </c>
      <c r="J71" s="540">
        <f t="shared" si="42"/>
        <v>1379504.8601032968</v>
      </c>
      <c r="K71" s="540">
        <f t="shared" si="42"/>
        <v>1558501.2913730599</v>
      </c>
      <c r="L71" s="540">
        <f t="shared" si="42"/>
        <v>1749134.5752254392</v>
      </c>
      <c r="M71" s="540">
        <f t="shared" si="42"/>
        <v>1935743.2969303797</v>
      </c>
      <c r="N71" s="540">
        <f t="shared" si="42"/>
        <v>2100337.1869535735</v>
      </c>
      <c r="O71" s="540">
        <f t="shared" si="42"/>
        <v>2299719.4401340643</v>
      </c>
      <c r="P71" s="537">
        <f t="shared" ref="P71" si="43">AVERAGE(C71:O71)</f>
        <v>1151317.8756642991</v>
      </c>
      <c r="Q71" s="537"/>
      <c r="R71" s="537">
        <f>P71</f>
        <v>1151317.8756642991</v>
      </c>
      <c r="S71" s="537"/>
      <c r="T71" s="537">
        <f t="shared" si="33"/>
        <v>1151317.8756642991</v>
      </c>
    </row>
    <row r="72" spans="1:20">
      <c r="A72" s="536">
        <f t="shared" si="34"/>
        <v>53</v>
      </c>
      <c r="B72" s="957"/>
      <c r="C72" s="540">
        <f t="shared" si="29"/>
        <v>0</v>
      </c>
      <c r="D72" s="540">
        <f t="shared" ref="D72:O72" si="44">D19-D44</f>
        <v>0</v>
      </c>
      <c r="E72" s="540">
        <f t="shared" si="44"/>
        <v>0</v>
      </c>
      <c r="F72" s="540">
        <f t="shared" si="44"/>
        <v>0</v>
      </c>
      <c r="G72" s="540">
        <f t="shared" si="44"/>
        <v>0</v>
      </c>
      <c r="H72" s="540">
        <f t="shared" si="44"/>
        <v>0</v>
      </c>
      <c r="I72" s="540">
        <f t="shared" si="44"/>
        <v>0</v>
      </c>
      <c r="J72" s="540">
        <f t="shared" si="44"/>
        <v>0</v>
      </c>
      <c r="K72" s="540">
        <f t="shared" si="44"/>
        <v>0</v>
      </c>
      <c r="L72" s="540">
        <f t="shared" si="44"/>
        <v>0</v>
      </c>
      <c r="M72" s="540">
        <f t="shared" si="44"/>
        <v>0</v>
      </c>
      <c r="N72" s="540">
        <f t="shared" si="44"/>
        <v>0</v>
      </c>
      <c r="O72" s="540">
        <f t="shared" si="44"/>
        <v>0</v>
      </c>
      <c r="P72" s="537"/>
      <c r="Q72" s="537"/>
      <c r="R72" s="537"/>
      <c r="S72" s="537"/>
      <c r="T72" s="537">
        <f t="shared" si="33"/>
        <v>0</v>
      </c>
    </row>
    <row r="73" spans="1:20">
      <c r="A73" s="536">
        <f t="shared" si="34"/>
        <v>54</v>
      </c>
      <c r="B73" s="957"/>
      <c r="C73" s="540">
        <f t="shared" si="29"/>
        <v>0</v>
      </c>
      <c r="D73" s="540">
        <f t="shared" ref="D73:O73" si="45">D20-D45</f>
        <v>0</v>
      </c>
      <c r="E73" s="540">
        <f t="shared" si="45"/>
        <v>0</v>
      </c>
      <c r="F73" s="540">
        <f t="shared" si="45"/>
        <v>0</v>
      </c>
      <c r="G73" s="540">
        <f t="shared" si="45"/>
        <v>0</v>
      </c>
      <c r="H73" s="540">
        <f t="shared" si="45"/>
        <v>0</v>
      </c>
      <c r="I73" s="540">
        <f t="shared" si="45"/>
        <v>0</v>
      </c>
      <c r="J73" s="540">
        <f t="shared" si="45"/>
        <v>0</v>
      </c>
      <c r="K73" s="540">
        <f t="shared" si="45"/>
        <v>0</v>
      </c>
      <c r="L73" s="540">
        <f t="shared" si="45"/>
        <v>0</v>
      </c>
      <c r="M73" s="540">
        <f t="shared" si="45"/>
        <v>0</v>
      </c>
      <c r="N73" s="540">
        <f t="shared" si="45"/>
        <v>0</v>
      </c>
      <c r="O73" s="540">
        <f t="shared" si="45"/>
        <v>0</v>
      </c>
      <c r="P73" s="537"/>
      <c r="Q73" s="537"/>
      <c r="R73" s="537"/>
      <c r="S73" s="537"/>
      <c r="T73" s="537">
        <f t="shared" si="33"/>
        <v>0</v>
      </c>
    </row>
    <row r="74" spans="1:20">
      <c r="A74" s="536">
        <f t="shared" si="34"/>
        <v>55</v>
      </c>
      <c r="B74" s="957"/>
      <c r="C74" s="540">
        <f t="shared" si="29"/>
        <v>0</v>
      </c>
      <c r="D74" s="540">
        <f t="shared" ref="D74:O74" si="46">D21-D46</f>
        <v>0</v>
      </c>
      <c r="E74" s="540">
        <f t="shared" si="46"/>
        <v>0</v>
      </c>
      <c r="F74" s="540">
        <f t="shared" si="46"/>
        <v>0</v>
      </c>
      <c r="G74" s="540">
        <f t="shared" si="46"/>
        <v>0</v>
      </c>
      <c r="H74" s="540">
        <f t="shared" si="46"/>
        <v>0</v>
      </c>
      <c r="I74" s="540">
        <f t="shared" si="46"/>
        <v>0</v>
      </c>
      <c r="J74" s="540">
        <f t="shared" si="46"/>
        <v>0</v>
      </c>
      <c r="K74" s="540">
        <f t="shared" si="46"/>
        <v>0</v>
      </c>
      <c r="L74" s="540">
        <f t="shared" si="46"/>
        <v>0</v>
      </c>
      <c r="M74" s="540">
        <f t="shared" si="46"/>
        <v>0</v>
      </c>
      <c r="N74" s="540">
        <f t="shared" si="46"/>
        <v>0</v>
      </c>
      <c r="O74" s="540">
        <f t="shared" si="46"/>
        <v>0</v>
      </c>
      <c r="P74" s="537"/>
      <c r="Q74" s="537"/>
      <c r="R74" s="537"/>
      <c r="S74" s="537"/>
      <c r="T74" s="537">
        <f t="shared" si="33"/>
        <v>0</v>
      </c>
    </row>
    <row r="75" spans="1:20">
      <c r="A75" s="536">
        <f t="shared" si="34"/>
        <v>56</v>
      </c>
      <c r="B75" s="958"/>
      <c r="C75" s="540">
        <f t="shared" si="29"/>
        <v>0</v>
      </c>
      <c r="D75" s="540">
        <f t="shared" ref="D75:O75" si="47">D22-D47</f>
        <v>0</v>
      </c>
      <c r="E75" s="540">
        <f t="shared" si="47"/>
        <v>0</v>
      </c>
      <c r="F75" s="540">
        <f t="shared" si="47"/>
        <v>0</v>
      </c>
      <c r="G75" s="540">
        <f t="shared" si="47"/>
        <v>0</v>
      </c>
      <c r="H75" s="540">
        <f t="shared" si="47"/>
        <v>0</v>
      </c>
      <c r="I75" s="540">
        <f t="shared" si="47"/>
        <v>0</v>
      </c>
      <c r="J75" s="540">
        <f t="shared" si="47"/>
        <v>0</v>
      </c>
      <c r="K75" s="540">
        <f t="shared" si="47"/>
        <v>0</v>
      </c>
      <c r="L75" s="540">
        <f t="shared" si="47"/>
        <v>0</v>
      </c>
      <c r="M75" s="540">
        <f t="shared" si="47"/>
        <v>0</v>
      </c>
      <c r="N75" s="540">
        <f t="shared" si="47"/>
        <v>0</v>
      </c>
      <c r="O75" s="540">
        <f t="shared" si="47"/>
        <v>0</v>
      </c>
      <c r="Q75" s="537"/>
      <c r="R75" s="537"/>
      <c r="S75" s="537"/>
      <c r="T75" s="537">
        <f t="shared" si="33"/>
        <v>0</v>
      </c>
    </row>
    <row r="76" spans="1:20">
      <c r="A76" s="536">
        <f t="shared" si="34"/>
        <v>57</v>
      </c>
      <c r="B76" s="957"/>
      <c r="C76" s="540">
        <f t="shared" si="29"/>
        <v>0</v>
      </c>
      <c r="D76" s="540">
        <f t="shared" ref="D76:O76" si="48">D23-D48</f>
        <v>0</v>
      </c>
      <c r="E76" s="540">
        <f t="shared" si="48"/>
        <v>0</v>
      </c>
      <c r="F76" s="540">
        <f t="shared" si="48"/>
        <v>0</v>
      </c>
      <c r="G76" s="540">
        <f t="shared" si="48"/>
        <v>0</v>
      </c>
      <c r="H76" s="540">
        <f t="shared" si="48"/>
        <v>0</v>
      </c>
      <c r="I76" s="540">
        <f t="shared" si="48"/>
        <v>0</v>
      </c>
      <c r="J76" s="540">
        <f t="shared" si="48"/>
        <v>0</v>
      </c>
      <c r="K76" s="540">
        <f t="shared" si="48"/>
        <v>0</v>
      </c>
      <c r="L76" s="540">
        <f t="shared" si="48"/>
        <v>0</v>
      </c>
      <c r="M76" s="540">
        <f t="shared" si="48"/>
        <v>0</v>
      </c>
      <c r="N76" s="540">
        <f t="shared" si="48"/>
        <v>0</v>
      </c>
      <c r="O76" s="540">
        <f t="shared" si="48"/>
        <v>0</v>
      </c>
      <c r="Q76" s="537"/>
      <c r="R76" s="537"/>
      <c r="S76" s="537"/>
      <c r="T76" s="537">
        <f t="shared" si="33"/>
        <v>0</v>
      </c>
    </row>
    <row r="77" spans="1:20">
      <c r="A77" s="536">
        <f t="shared" si="34"/>
        <v>58</v>
      </c>
      <c r="B77" s="958"/>
      <c r="C77" s="540">
        <f t="shared" si="29"/>
        <v>0</v>
      </c>
      <c r="D77" s="540">
        <f t="shared" ref="D77:O77" si="49">D24-D49</f>
        <v>0</v>
      </c>
      <c r="E77" s="540">
        <f t="shared" si="49"/>
        <v>0</v>
      </c>
      <c r="F77" s="540">
        <f t="shared" si="49"/>
        <v>0</v>
      </c>
      <c r="G77" s="540">
        <f t="shared" si="49"/>
        <v>0</v>
      </c>
      <c r="H77" s="540">
        <f t="shared" si="49"/>
        <v>0</v>
      </c>
      <c r="I77" s="540">
        <f t="shared" si="49"/>
        <v>0</v>
      </c>
      <c r="J77" s="540">
        <f t="shared" si="49"/>
        <v>0</v>
      </c>
      <c r="K77" s="540">
        <f t="shared" si="49"/>
        <v>0</v>
      </c>
      <c r="L77" s="540">
        <f t="shared" si="49"/>
        <v>0</v>
      </c>
      <c r="M77" s="540">
        <f t="shared" si="49"/>
        <v>0</v>
      </c>
      <c r="N77" s="540">
        <f t="shared" si="49"/>
        <v>0</v>
      </c>
      <c r="O77" s="540">
        <f t="shared" si="49"/>
        <v>0</v>
      </c>
      <c r="Q77" s="537"/>
      <c r="R77" s="537"/>
      <c r="S77" s="537"/>
      <c r="T77" s="537">
        <f t="shared" si="33"/>
        <v>0</v>
      </c>
    </row>
    <row r="78" spans="1:20">
      <c r="A78" s="536">
        <f t="shared" si="34"/>
        <v>59</v>
      </c>
      <c r="B78" s="958"/>
      <c r="C78" s="540">
        <f t="shared" si="29"/>
        <v>0</v>
      </c>
      <c r="D78" s="540">
        <f t="shared" ref="D78:O78" si="50">D25-D50</f>
        <v>0</v>
      </c>
      <c r="E78" s="540">
        <f t="shared" si="50"/>
        <v>0</v>
      </c>
      <c r="F78" s="540">
        <f t="shared" si="50"/>
        <v>0</v>
      </c>
      <c r="G78" s="540">
        <f t="shared" si="50"/>
        <v>0</v>
      </c>
      <c r="H78" s="540">
        <f t="shared" si="50"/>
        <v>0</v>
      </c>
      <c r="I78" s="540">
        <f t="shared" si="50"/>
        <v>0</v>
      </c>
      <c r="J78" s="540">
        <f t="shared" si="50"/>
        <v>0</v>
      </c>
      <c r="K78" s="540">
        <f t="shared" si="50"/>
        <v>0</v>
      </c>
      <c r="L78" s="540">
        <f t="shared" si="50"/>
        <v>0</v>
      </c>
      <c r="M78" s="540">
        <f t="shared" si="50"/>
        <v>0</v>
      </c>
      <c r="N78" s="540">
        <f t="shared" si="50"/>
        <v>0</v>
      </c>
      <c r="O78" s="540">
        <f t="shared" si="50"/>
        <v>0</v>
      </c>
      <c r="Q78" s="537"/>
      <c r="R78" s="537"/>
      <c r="S78" s="537"/>
      <c r="T78" s="537">
        <f t="shared" si="33"/>
        <v>0</v>
      </c>
    </row>
    <row r="79" spans="1:20">
      <c r="A79" s="536">
        <f t="shared" si="34"/>
        <v>60</v>
      </c>
      <c r="B79" s="958"/>
      <c r="C79" s="540">
        <f t="shared" si="29"/>
        <v>0</v>
      </c>
      <c r="D79" s="540">
        <f t="shared" ref="D79:O79" si="51">D26-D51</f>
        <v>0</v>
      </c>
      <c r="E79" s="540">
        <f t="shared" si="51"/>
        <v>0</v>
      </c>
      <c r="F79" s="540">
        <f t="shared" si="51"/>
        <v>0</v>
      </c>
      <c r="G79" s="540">
        <f t="shared" si="51"/>
        <v>0</v>
      </c>
      <c r="H79" s="540">
        <f t="shared" si="51"/>
        <v>0</v>
      </c>
      <c r="I79" s="540">
        <f t="shared" si="51"/>
        <v>0</v>
      </c>
      <c r="J79" s="540">
        <f t="shared" si="51"/>
        <v>0</v>
      </c>
      <c r="K79" s="540">
        <f t="shared" si="51"/>
        <v>0</v>
      </c>
      <c r="L79" s="540">
        <f t="shared" si="51"/>
        <v>0</v>
      </c>
      <c r="M79" s="540">
        <f t="shared" si="51"/>
        <v>0</v>
      </c>
      <c r="N79" s="540">
        <f t="shared" si="51"/>
        <v>0</v>
      </c>
      <c r="O79" s="540">
        <f t="shared" si="51"/>
        <v>0</v>
      </c>
      <c r="Q79" s="537"/>
      <c r="R79" s="537"/>
      <c r="S79" s="537"/>
      <c r="T79" s="537">
        <f t="shared" si="33"/>
        <v>0</v>
      </c>
    </row>
    <row r="80" spans="1:20">
      <c r="A80" s="536">
        <f t="shared" si="34"/>
        <v>61</v>
      </c>
      <c r="B80" s="369" t="s">
        <v>13</v>
      </c>
      <c r="C80" s="537">
        <f>SUM(C62:C79)</f>
        <v>53934443.690000005</v>
      </c>
      <c r="D80" s="537">
        <f t="shared" ref="D80:O80" si="52">SUM(D62:D79)</f>
        <v>58499379.128324665</v>
      </c>
      <c r="E80" s="537">
        <f t="shared" si="52"/>
        <v>57672507.259899013</v>
      </c>
      <c r="F80" s="537">
        <f t="shared" si="52"/>
        <v>57149278.760685302</v>
      </c>
      <c r="G80" s="537">
        <f t="shared" si="52"/>
        <v>56591306.766166411</v>
      </c>
      <c r="H80" s="537">
        <f t="shared" si="52"/>
        <v>55940411.564171873</v>
      </c>
      <c r="I80" s="537">
        <f t="shared" si="52"/>
        <v>55365840.413739182</v>
      </c>
      <c r="J80" s="537">
        <f t="shared" si="52"/>
        <v>54979157.0236146</v>
      </c>
      <c r="K80" s="537">
        <f t="shared" si="52"/>
        <v>54470627.075767159</v>
      </c>
      <c r="L80" s="537">
        <f t="shared" si="52"/>
        <v>54068808.039809942</v>
      </c>
      <c r="M80" s="537">
        <f t="shared" si="52"/>
        <v>53636857.141936295</v>
      </c>
      <c r="N80" s="537">
        <f t="shared" si="52"/>
        <v>53093184.861697234</v>
      </c>
      <c r="O80" s="537">
        <f t="shared" si="52"/>
        <v>54361154.045492515</v>
      </c>
      <c r="P80" s="537">
        <f t="shared" ref="P80" si="53">SUM(P62:P79)</f>
        <v>55366381.213177241</v>
      </c>
      <c r="Q80" s="537">
        <f t="shared" ref="Q80" si="54">SUM(Q62:Q79)</f>
        <v>2777530.8734934153</v>
      </c>
      <c r="R80" s="537">
        <f t="shared" ref="R80" si="55">SUM(R62:R79)</f>
        <v>39170372.348932706</v>
      </c>
      <c r="S80" s="537">
        <f t="shared" ref="S80" si="56">SUM(S62:S79)</f>
        <v>14232797.256936848</v>
      </c>
      <c r="T80" s="537">
        <f t="shared" ref="T80" si="57">SUM(T62:T79)</f>
        <v>56180700.479362965</v>
      </c>
    </row>
    <row r="81" spans="1:20">
      <c r="A81" s="536">
        <f t="shared" si="34"/>
        <v>62</v>
      </c>
      <c r="B81" s="369"/>
      <c r="C81" s="537"/>
      <c r="D81" s="537"/>
      <c r="E81" s="537"/>
      <c r="F81" s="537"/>
      <c r="G81" s="537"/>
      <c r="H81" s="537"/>
      <c r="I81" s="537"/>
      <c r="J81" s="537"/>
      <c r="K81" s="537"/>
      <c r="L81" s="537"/>
      <c r="M81" s="537"/>
      <c r="N81" s="537"/>
      <c r="O81" s="537"/>
      <c r="P81" s="538" t="s">
        <v>698</v>
      </c>
      <c r="Q81" s="539">
        <f>Q53</f>
        <v>1</v>
      </c>
      <c r="R81" s="539">
        <f t="shared" ref="R81:S81" si="58">R53</f>
        <v>0</v>
      </c>
      <c r="S81" s="539">
        <f t="shared" si="58"/>
        <v>9.4490855863003556E-2</v>
      </c>
      <c r="T81" s="537"/>
    </row>
    <row r="82" spans="1:20">
      <c r="A82" s="536">
        <f t="shared" si="34"/>
        <v>63</v>
      </c>
      <c r="B82" s="369"/>
      <c r="C82" s="537"/>
      <c r="D82" s="537"/>
      <c r="E82" s="537"/>
      <c r="F82" s="537"/>
      <c r="G82" s="537"/>
      <c r="H82" s="537"/>
      <c r="I82" s="537"/>
      <c r="J82" s="537"/>
      <c r="K82" s="537"/>
      <c r="L82" s="537"/>
      <c r="M82" s="537"/>
      <c r="N82" s="537"/>
      <c r="O82" s="537"/>
      <c r="P82" s="538" t="s">
        <v>786</v>
      </c>
      <c r="Q82" s="537">
        <f>Q80*Q81</f>
        <v>2777530.8734934153</v>
      </c>
      <c r="R82" s="537">
        <f t="shared" ref="R82" si="59">R80*R81</f>
        <v>0</v>
      </c>
      <c r="S82" s="537">
        <f>S80*S81</f>
        <v>1344869.194132572</v>
      </c>
      <c r="T82" s="537">
        <f>SUM(Q82:S82)</f>
        <v>4122400.0676259873</v>
      </c>
    </row>
    <row r="84" spans="1:20">
      <c r="B84" s="369" t="s">
        <v>198</v>
      </c>
      <c r="C84" s="369" t="s">
        <v>199</v>
      </c>
      <c r="D84" s="369" t="s">
        <v>200</v>
      </c>
      <c r="E84" s="369" t="s">
        <v>201</v>
      </c>
      <c r="F84" s="369" t="s">
        <v>203</v>
      </c>
      <c r="G84" s="369" t="s">
        <v>202</v>
      </c>
      <c r="H84" s="369"/>
      <c r="I84" s="369"/>
      <c r="J84" s="369"/>
      <c r="K84" s="369"/>
      <c r="L84" s="369"/>
      <c r="M84" s="369"/>
      <c r="N84" s="369"/>
      <c r="O84" s="369"/>
      <c r="P84" s="369"/>
      <c r="Q84" s="369"/>
      <c r="R84" s="369"/>
      <c r="S84" s="369"/>
      <c r="T84" s="369"/>
    </row>
    <row r="85" spans="1:20">
      <c r="B85" s="377"/>
      <c r="C85" s="369" t="s">
        <v>13</v>
      </c>
      <c r="D85" s="530" t="s">
        <v>17</v>
      </c>
      <c r="E85" s="530" t="s">
        <v>778</v>
      </c>
      <c r="F85" s="530" t="s">
        <v>685</v>
      </c>
      <c r="G85" s="533" t="s">
        <v>13</v>
      </c>
      <c r="H85" s="369"/>
      <c r="I85" s="369"/>
      <c r="J85" s="369"/>
      <c r="K85" s="369"/>
      <c r="L85" s="369"/>
      <c r="M85" s="369"/>
      <c r="N85" s="369"/>
      <c r="O85" s="369"/>
    </row>
    <row r="86" spans="1:20">
      <c r="B86" s="377" t="s">
        <v>662</v>
      </c>
      <c r="C86" s="534"/>
      <c r="G86" s="535" t="s">
        <v>1156</v>
      </c>
      <c r="H86" s="369"/>
      <c r="I86" s="369"/>
      <c r="J86" s="369"/>
      <c r="K86" s="369"/>
      <c r="L86" s="369"/>
      <c r="M86" s="369"/>
      <c r="N86" s="369"/>
      <c r="O86" s="369"/>
    </row>
    <row r="87" spans="1:20">
      <c r="A87" s="536">
        <f>A82+1</f>
        <v>64</v>
      </c>
      <c r="B87" s="954" t="s">
        <v>1529</v>
      </c>
      <c r="C87" s="955">
        <v>4026332.32</v>
      </c>
      <c r="D87" s="537"/>
      <c r="E87" s="537"/>
      <c r="F87" s="537">
        <f>C87</f>
        <v>4026332.32</v>
      </c>
      <c r="G87" s="537">
        <f>SUM(D87:F87)</f>
        <v>4026332.32</v>
      </c>
      <c r="H87" s="540"/>
      <c r="I87" s="540"/>
      <c r="J87" s="540"/>
      <c r="K87" s="540"/>
      <c r="L87" s="540"/>
      <c r="M87" s="540"/>
      <c r="N87" s="540"/>
      <c r="O87" s="540"/>
    </row>
    <row r="88" spans="1:20">
      <c r="A88" s="536">
        <f>A87+1</f>
        <v>65</v>
      </c>
      <c r="B88" s="954" t="s">
        <v>776</v>
      </c>
      <c r="C88" s="955">
        <v>2012205.78</v>
      </c>
      <c r="D88" s="537">
        <f>C88</f>
        <v>2012205.78</v>
      </c>
      <c r="E88" s="537"/>
      <c r="F88" s="537"/>
      <c r="G88" s="537">
        <f t="shared" ref="G88:G105" si="60">SUM(D88:F88)</f>
        <v>2012205.78</v>
      </c>
      <c r="H88" s="540"/>
      <c r="I88" s="540"/>
      <c r="J88" s="540"/>
      <c r="K88" s="540"/>
      <c r="L88" s="540"/>
      <c r="M88" s="540"/>
      <c r="N88" s="540"/>
      <c r="O88" s="540"/>
    </row>
    <row r="89" spans="1:20">
      <c r="A89" s="536">
        <f t="shared" ref="A89:A107" si="61">A88+1</f>
        <v>66</v>
      </c>
      <c r="B89" s="954" t="s">
        <v>777</v>
      </c>
      <c r="C89" s="955">
        <v>99119.030000000013</v>
      </c>
      <c r="D89" s="537"/>
      <c r="E89" s="537">
        <f>C89</f>
        <v>99119.030000000013</v>
      </c>
      <c r="F89" s="537"/>
      <c r="G89" s="537">
        <f t="shared" si="60"/>
        <v>99119.030000000013</v>
      </c>
      <c r="H89" s="540"/>
      <c r="I89" s="540"/>
      <c r="J89" s="540"/>
      <c r="K89" s="540"/>
      <c r="L89" s="540"/>
      <c r="M89" s="540"/>
      <c r="N89" s="540"/>
      <c r="O89" s="540"/>
    </row>
    <row r="90" spans="1:20">
      <c r="A90" s="536">
        <f t="shared" si="61"/>
        <v>67</v>
      </c>
      <c r="B90" s="954" t="s">
        <v>789</v>
      </c>
      <c r="C90" s="955">
        <v>0</v>
      </c>
      <c r="D90" s="537"/>
      <c r="E90" s="537">
        <f>C90</f>
        <v>0</v>
      </c>
      <c r="F90" s="537"/>
      <c r="G90" s="537">
        <f t="shared" si="60"/>
        <v>0</v>
      </c>
      <c r="H90" s="540"/>
      <c r="I90" s="540"/>
      <c r="J90" s="540"/>
      <c r="K90" s="540"/>
      <c r="L90" s="540"/>
      <c r="M90" s="540"/>
      <c r="N90" s="540"/>
      <c r="O90" s="540"/>
    </row>
    <row r="91" spans="1:20">
      <c r="A91" s="536">
        <f t="shared" si="61"/>
        <v>68</v>
      </c>
      <c r="B91" s="954" t="s">
        <v>1560</v>
      </c>
      <c r="C91" s="955">
        <v>645830.05415999994</v>
      </c>
      <c r="D91" s="537"/>
      <c r="E91" s="537">
        <f>C91</f>
        <v>645830.05415999994</v>
      </c>
      <c r="F91" s="537"/>
      <c r="G91" s="537">
        <f t="shared" si="60"/>
        <v>645830.05415999994</v>
      </c>
      <c r="H91" s="540"/>
      <c r="I91" s="540"/>
      <c r="J91" s="540"/>
      <c r="K91" s="540"/>
      <c r="L91" s="540"/>
      <c r="M91" s="540"/>
      <c r="N91" s="540"/>
      <c r="O91" s="540"/>
    </row>
    <row r="92" spans="1:20">
      <c r="A92" s="536">
        <f t="shared" si="61"/>
        <v>69</v>
      </c>
      <c r="B92" s="954" t="s">
        <v>818</v>
      </c>
      <c r="C92" s="955">
        <v>6746712.6800000006</v>
      </c>
      <c r="D92" s="537"/>
      <c r="E92" s="537">
        <f>C92</f>
        <v>6746712.6800000006</v>
      </c>
      <c r="F92" s="537"/>
      <c r="G92" s="537">
        <f t="shared" si="60"/>
        <v>6746712.6800000006</v>
      </c>
      <c r="H92" s="540"/>
      <c r="I92" s="540"/>
      <c r="J92" s="540"/>
      <c r="K92" s="540"/>
      <c r="L92" s="540"/>
      <c r="M92" s="540"/>
      <c r="N92" s="540"/>
      <c r="O92" s="540"/>
    </row>
    <row r="93" spans="1:20">
      <c r="A93" s="536">
        <f t="shared" si="61"/>
        <v>70</v>
      </c>
      <c r="B93" s="954" t="s">
        <v>790</v>
      </c>
      <c r="C93" s="955">
        <v>3562235.2200000007</v>
      </c>
      <c r="D93" s="537"/>
      <c r="E93" s="537">
        <f>C93</f>
        <v>3562235.2200000007</v>
      </c>
      <c r="F93" s="537"/>
      <c r="G93" s="537">
        <f t="shared" si="60"/>
        <v>3562235.2200000007</v>
      </c>
      <c r="H93" s="540"/>
      <c r="I93" s="540"/>
      <c r="J93" s="540"/>
      <c r="K93" s="540"/>
      <c r="L93" s="540"/>
      <c r="M93" s="540"/>
      <c r="N93" s="540"/>
      <c r="O93" s="540"/>
    </row>
    <row r="94" spans="1:20">
      <c r="A94" s="536">
        <f t="shared" si="61"/>
        <v>71</v>
      </c>
      <c r="B94" s="954" t="s">
        <v>1561</v>
      </c>
      <c r="C94" s="955">
        <v>3088072.59</v>
      </c>
      <c r="D94" s="537">
        <f>C94</f>
        <v>3088072.59</v>
      </c>
      <c r="E94" s="537"/>
      <c r="F94" s="537"/>
      <c r="G94" s="537">
        <f>SUM(D94:F94)</f>
        <v>3088072.59</v>
      </c>
      <c r="H94" s="540"/>
      <c r="I94" s="540"/>
      <c r="J94" s="540"/>
      <c r="K94" s="540"/>
      <c r="L94" s="540"/>
      <c r="M94" s="540"/>
      <c r="N94" s="540"/>
      <c r="O94" s="540"/>
    </row>
    <row r="95" spans="1:20">
      <c r="A95" s="536">
        <f t="shared" si="61"/>
        <v>72</v>
      </c>
      <c r="B95" s="954" t="s">
        <v>1636</v>
      </c>
      <c r="C95" s="955">
        <v>20458.985840000001</v>
      </c>
      <c r="D95" s="537">
        <f>C95</f>
        <v>20458.985840000001</v>
      </c>
      <c r="E95" s="537"/>
      <c r="F95" s="537"/>
      <c r="G95" s="537">
        <f>SUM(D95:F95)</f>
        <v>20458.985840000001</v>
      </c>
      <c r="H95" s="540"/>
      <c r="I95" s="540"/>
      <c r="J95" s="540"/>
      <c r="K95" s="540"/>
      <c r="L95" s="540"/>
      <c r="M95" s="540"/>
      <c r="N95" s="540"/>
      <c r="O95" s="540"/>
    </row>
    <row r="96" spans="1:20">
      <c r="A96" s="536">
        <f t="shared" si="61"/>
        <v>73</v>
      </c>
      <c r="B96" s="957"/>
      <c r="C96" s="955">
        <v>0</v>
      </c>
      <c r="D96" s="537"/>
      <c r="E96" s="537"/>
      <c r="F96" s="537"/>
      <c r="G96" s="537">
        <f t="shared" si="60"/>
        <v>0</v>
      </c>
      <c r="H96" s="540"/>
      <c r="I96" s="540"/>
      <c r="J96" s="540"/>
      <c r="K96" s="540"/>
      <c r="L96" s="540"/>
      <c r="M96" s="540"/>
      <c r="N96" s="540"/>
      <c r="O96" s="540"/>
    </row>
    <row r="97" spans="1:15">
      <c r="A97" s="536">
        <f t="shared" si="61"/>
        <v>74</v>
      </c>
      <c r="B97" s="957"/>
      <c r="C97" s="955">
        <v>0</v>
      </c>
      <c r="D97" s="537"/>
      <c r="E97" s="537"/>
      <c r="F97" s="537"/>
      <c r="G97" s="537">
        <f t="shared" si="60"/>
        <v>0</v>
      </c>
      <c r="H97" s="540"/>
      <c r="I97" s="540"/>
      <c r="J97" s="540"/>
      <c r="K97" s="540"/>
      <c r="L97" s="540"/>
      <c r="M97" s="540"/>
      <c r="N97" s="540"/>
      <c r="O97" s="540"/>
    </row>
    <row r="98" spans="1:15">
      <c r="A98" s="536">
        <f t="shared" si="61"/>
        <v>75</v>
      </c>
      <c r="B98" s="957"/>
      <c r="C98" s="955">
        <v>0</v>
      </c>
      <c r="D98" s="537"/>
      <c r="E98" s="537"/>
      <c r="F98" s="537"/>
      <c r="G98" s="537">
        <f t="shared" si="60"/>
        <v>0</v>
      </c>
      <c r="H98" s="540"/>
      <c r="I98" s="540"/>
      <c r="J98" s="540"/>
      <c r="K98" s="540"/>
      <c r="L98" s="540"/>
      <c r="M98" s="540"/>
      <c r="N98" s="540"/>
      <c r="O98" s="540"/>
    </row>
    <row r="99" spans="1:15">
      <c r="A99" s="536">
        <f t="shared" si="61"/>
        <v>76</v>
      </c>
      <c r="B99" s="957"/>
      <c r="C99" s="955">
        <v>0</v>
      </c>
      <c r="D99" s="537"/>
      <c r="E99" s="537"/>
      <c r="F99" s="537"/>
      <c r="G99" s="537">
        <f t="shared" si="60"/>
        <v>0</v>
      </c>
      <c r="H99" s="540"/>
      <c r="I99" s="540"/>
      <c r="J99" s="540"/>
      <c r="K99" s="540"/>
      <c r="L99" s="540"/>
      <c r="M99" s="540"/>
      <c r="N99" s="540"/>
      <c r="O99" s="540"/>
    </row>
    <row r="100" spans="1:15">
      <c r="A100" s="536">
        <f t="shared" si="61"/>
        <v>77</v>
      </c>
      <c r="B100" s="958"/>
      <c r="C100" s="955">
        <v>0</v>
      </c>
      <c r="D100" s="537"/>
      <c r="E100" s="537"/>
      <c r="F100" s="537"/>
      <c r="G100" s="537">
        <f t="shared" si="60"/>
        <v>0</v>
      </c>
      <c r="H100" s="540"/>
      <c r="I100" s="540"/>
      <c r="J100" s="540"/>
      <c r="K100" s="540"/>
      <c r="L100" s="540"/>
      <c r="M100" s="540"/>
      <c r="N100" s="540"/>
      <c r="O100" s="540"/>
    </row>
    <row r="101" spans="1:15">
      <c r="A101" s="536">
        <f t="shared" si="61"/>
        <v>78</v>
      </c>
      <c r="B101" s="957"/>
      <c r="C101" s="955">
        <v>0</v>
      </c>
      <c r="D101" s="537"/>
      <c r="E101" s="537"/>
      <c r="F101" s="537"/>
      <c r="G101" s="537">
        <f t="shared" si="60"/>
        <v>0</v>
      </c>
      <c r="H101" s="540"/>
      <c r="I101" s="540"/>
      <c r="J101" s="540"/>
      <c r="K101" s="540"/>
      <c r="L101" s="540"/>
      <c r="M101" s="540"/>
      <c r="N101" s="540"/>
      <c r="O101" s="540"/>
    </row>
    <row r="102" spans="1:15">
      <c r="A102" s="536">
        <f t="shared" si="61"/>
        <v>79</v>
      </c>
      <c r="B102" s="958"/>
      <c r="C102" s="955">
        <v>0</v>
      </c>
      <c r="D102" s="537"/>
      <c r="E102" s="537"/>
      <c r="F102" s="537"/>
      <c r="G102" s="537">
        <f t="shared" si="60"/>
        <v>0</v>
      </c>
      <c r="H102" s="540"/>
      <c r="I102" s="540"/>
      <c r="J102" s="540"/>
      <c r="K102" s="540"/>
      <c r="L102" s="540"/>
      <c r="M102" s="540"/>
      <c r="N102" s="540"/>
      <c r="O102" s="540"/>
    </row>
    <row r="103" spans="1:15">
      <c r="A103" s="536">
        <f t="shared" si="61"/>
        <v>80</v>
      </c>
      <c r="B103" s="958"/>
      <c r="C103" s="955">
        <v>0</v>
      </c>
      <c r="D103" s="537"/>
      <c r="E103" s="537"/>
      <c r="F103" s="537"/>
      <c r="G103" s="537">
        <f t="shared" si="60"/>
        <v>0</v>
      </c>
      <c r="H103" s="540"/>
      <c r="I103" s="540"/>
      <c r="J103" s="540"/>
      <c r="K103" s="540"/>
      <c r="L103" s="540"/>
      <c r="M103" s="540"/>
      <c r="N103" s="540"/>
      <c r="O103" s="540"/>
    </row>
    <row r="104" spans="1:15">
      <c r="A104" s="536">
        <f t="shared" si="61"/>
        <v>81</v>
      </c>
      <c r="B104" s="958"/>
      <c r="C104" s="955">
        <v>0</v>
      </c>
      <c r="D104" s="537"/>
      <c r="E104" s="537"/>
      <c r="F104" s="537"/>
      <c r="G104" s="537">
        <f t="shared" si="60"/>
        <v>0</v>
      </c>
      <c r="H104" s="540"/>
      <c r="I104" s="540"/>
      <c r="J104" s="540"/>
      <c r="K104" s="540"/>
      <c r="L104" s="540"/>
      <c r="M104" s="540"/>
      <c r="N104" s="540"/>
      <c r="O104" s="540"/>
    </row>
    <row r="105" spans="1:15">
      <c r="A105" s="536">
        <f t="shared" si="61"/>
        <v>82</v>
      </c>
      <c r="B105" s="369" t="s">
        <v>13</v>
      </c>
      <c r="C105" s="537">
        <f>SUM(C87:C104)</f>
        <v>20200966.66</v>
      </c>
      <c r="D105" s="537">
        <f>SUM(D87:D104)</f>
        <v>5120737.3558400003</v>
      </c>
      <c r="E105" s="537">
        <f>SUM(E87:E104)</f>
        <v>11053896.984160002</v>
      </c>
      <c r="F105" s="537">
        <f>SUM(F87:F104)</f>
        <v>4026332.32</v>
      </c>
      <c r="G105" s="537">
        <f t="shared" si="60"/>
        <v>20200966.660000004</v>
      </c>
      <c r="H105" s="537"/>
      <c r="I105" s="537"/>
      <c r="J105" s="537"/>
      <c r="K105" s="537"/>
      <c r="L105" s="537"/>
      <c r="M105" s="537"/>
      <c r="N105" s="537"/>
      <c r="O105" s="537"/>
    </row>
    <row r="106" spans="1:15">
      <c r="A106" s="536">
        <f t="shared" si="61"/>
        <v>83</v>
      </c>
      <c r="C106" s="538" t="s">
        <v>698</v>
      </c>
      <c r="D106" s="539">
        <f>Q81</f>
        <v>1</v>
      </c>
      <c r="E106" s="539">
        <f>R81</f>
        <v>0</v>
      </c>
      <c r="F106" s="539">
        <f>S81</f>
        <v>9.4490855863003556E-2</v>
      </c>
      <c r="G106" s="537"/>
    </row>
    <row r="107" spans="1:15">
      <c r="A107" s="536">
        <f t="shared" si="61"/>
        <v>84</v>
      </c>
      <c r="C107" s="538" t="s">
        <v>786</v>
      </c>
      <c r="D107" s="537">
        <f>D105*D106</f>
        <v>5120737.3558400003</v>
      </c>
      <c r="E107" s="537">
        <f t="shared" ref="E107" si="62">E105*E106</f>
        <v>0</v>
      </c>
      <c r="F107" s="537">
        <f t="shared" ref="F107" si="63">F105*F106</f>
        <v>380451.58690567268</v>
      </c>
      <c r="G107" s="537">
        <f>SUM(D107:F107)</f>
        <v>5501188.9427456725</v>
      </c>
    </row>
  </sheetData>
  <sheetProtection algorithmName="SHA-512" hashValue="x7nR+OMxBkTl19yUI3UwecpNQPDlKlRSPXdHsbhJCvpkVNW3jbCtulvdeVmMmlKUgLIJItUkFualroz91P5ngQ==" saltValue="Lj2pEGGYxvQCnJi13k2CfQ==" spinCount="100000" sheet="1" objects="1" scenarios="1"/>
  <mergeCells count="5">
    <mergeCell ref="B1:G1"/>
    <mergeCell ref="B3:G3"/>
    <mergeCell ref="B2:H2"/>
    <mergeCell ref="B56:H56"/>
    <mergeCell ref="B57:G57"/>
  </mergeCells>
  <pageMargins left="0.7" right="0.7" top="0.75" bottom="0.75" header="0.3" footer="0.3"/>
  <pageSetup scale="38" fitToHeight="4" orientation="landscape" r:id="rId1"/>
  <rowBreaks count="1" manualBreakCount="1">
    <brk id="54" max="19" man="1"/>
  </rowBreaks>
  <ignoredErrors>
    <ignoredError sqref="G95:G10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9"/>
  <sheetViews>
    <sheetView view="pageBreakPreview" zoomScale="80" zoomScaleNormal="90" zoomScaleSheetLayoutView="80" workbookViewId="0">
      <selection activeCell="B49" sqref="B49"/>
    </sheetView>
  </sheetViews>
  <sheetFormatPr defaultColWidth="8.77734375" defaultRowHeight="15.75"/>
  <cols>
    <col min="1" max="1" width="4.77734375" style="16" customWidth="1"/>
    <col min="2" max="2" width="62" style="16" customWidth="1"/>
    <col min="3" max="3" width="15.33203125" style="16" customWidth="1"/>
    <col min="4" max="7" width="11.6640625" style="16" customWidth="1"/>
    <col min="8" max="8" width="11" style="16" bestFit="1" customWidth="1"/>
    <col min="9" max="9" width="8.77734375" style="16"/>
    <col min="10" max="10" width="13.77734375" style="16" bestFit="1" customWidth="1"/>
    <col min="11" max="11" width="12.44140625" style="16" bestFit="1" customWidth="1"/>
    <col min="12" max="16384" width="8.77734375" style="16"/>
  </cols>
  <sheetData>
    <row r="1" spans="1:14" ht="18.75">
      <c r="A1" s="1062" t="str">
        <f>+'Attachment H-7'!D177</f>
        <v>PECO Energy Company</v>
      </c>
      <c r="B1" s="1062"/>
      <c r="C1" s="1062"/>
      <c r="D1" s="1062"/>
      <c r="E1" s="1062"/>
      <c r="F1" s="1062"/>
      <c r="G1" s="541"/>
      <c r="H1" s="16" t="s">
        <v>422</v>
      </c>
    </row>
    <row r="2" spans="1:14" ht="20.25">
      <c r="A2" s="542"/>
      <c r="B2" s="543"/>
      <c r="C2" s="544"/>
      <c r="D2" s="545"/>
      <c r="E2" s="541"/>
      <c r="F2" s="541"/>
      <c r="G2" s="541"/>
    </row>
    <row r="3" spans="1:14">
      <c r="A3" s="1063" t="s">
        <v>1230</v>
      </c>
      <c r="B3" s="1063"/>
      <c r="C3" s="1063"/>
      <c r="D3" s="1063"/>
      <c r="E3" s="1063"/>
      <c r="F3" s="1063"/>
      <c r="G3" s="541"/>
    </row>
    <row r="4" spans="1:14">
      <c r="B4" s="369" t="s">
        <v>198</v>
      </c>
      <c r="C4" s="369" t="s">
        <v>199</v>
      </c>
      <c r="D4" s="369" t="s">
        <v>200</v>
      </c>
      <c r="E4" s="369" t="s">
        <v>201</v>
      </c>
      <c r="F4" s="369" t="s">
        <v>203</v>
      </c>
      <c r="G4" s="369" t="s">
        <v>972</v>
      </c>
      <c r="H4" s="369" t="s">
        <v>976</v>
      </c>
      <c r="I4" s="369"/>
      <c r="J4" s="369"/>
      <c r="K4" s="369"/>
      <c r="L4" s="369"/>
      <c r="M4" s="369"/>
      <c r="N4" s="369"/>
    </row>
    <row r="5" spans="1:14">
      <c r="B5" s="546" t="s">
        <v>719</v>
      </c>
    </row>
    <row r="6" spans="1:14">
      <c r="B6" s="343" t="s">
        <v>718</v>
      </c>
      <c r="C6" s="959" t="s">
        <v>1660</v>
      </c>
      <c r="D6" s="959" t="s">
        <v>1661</v>
      </c>
      <c r="E6" s="959"/>
      <c r="F6" s="960"/>
      <c r="G6" s="960"/>
      <c r="H6" s="547" t="s">
        <v>13</v>
      </c>
    </row>
    <row r="7" spans="1:14">
      <c r="A7" s="547">
        <v>1</v>
      </c>
      <c r="B7" s="961">
        <v>923</v>
      </c>
      <c r="C7" s="961">
        <v>0</v>
      </c>
      <c r="D7" s="962">
        <v>7745.7899999999991</v>
      </c>
      <c r="E7" s="960"/>
      <c r="F7" s="960"/>
      <c r="G7" s="960"/>
      <c r="H7" s="548">
        <f t="shared" ref="H7:H17" si="0">SUM(C7:G7)</f>
        <v>7745.7899999999991</v>
      </c>
      <c r="I7" s="547"/>
    </row>
    <row r="8" spans="1:14">
      <c r="A8" s="547">
        <f>A7+1</f>
        <v>2</v>
      </c>
      <c r="B8" s="961">
        <v>926</v>
      </c>
      <c r="C8" s="961">
        <v>0</v>
      </c>
      <c r="D8" s="962">
        <v>0</v>
      </c>
      <c r="E8" s="960"/>
      <c r="F8" s="960"/>
      <c r="G8" s="960"/>
      <c r="H8" s="548">
        <f t="shared" si="0"/>
        <v>0</v>
      </c>
      <c r="I8" s="547"/>
    </row>
    <row r="9" spans="1:14">
      <c r="A9" s="547">
        <f t="shared" ref="A9:A17" si="1">A8+1</f>
        <v>3</v>
      </c>
      <c r="B9" s="961">
        <v>920</v>
      </c>
      <c r="C9" s="961"/>
      <c r="D9" s="962">
        <v>0</v>
      </c>
      <c r="E9" s="960"/>
      <c r="F9" s="960"/>
      <c r="G9" s="960"/>
      <c r="H9" s="548">
        <f t="shared" si="0"/>
        <v>0</v>
      </c>
      <c r="I9" s="547"/>
    </row>
    <row r="10" spans="1:14">
      <c r="A10" s="547">
        <f t="shared" si="1"/>
        <v>4</v>
      </c>
      <c r="B10" s="961"/>
      <c r="C10" s="961"/>
      <c r="D10" s="961"/>
      <c r="E10" s="960"/>
      <c r="F10" s="960"/>
      <c r="G10" s="960"/>
      <c r="H10" s="548">
        <f t="shared" si="0"/>
        <v>0</v>
      </c>
      <c r="I10" s="547"/>
    </row>
    <row r="11" spans="1:14">
      <c r="A11" s="547">
        <f t="shared" si="1"/>
        <v>5</v>
      </c>
      <c r="B11" s="961"/>
      <c r="C11" s="961"/>
      <c r="D11" s="961"/>
      <c r="E11" s="960"/>
      <c r="F11" s="960"/>
      <c r="G11" s="960"/>
      <c r="H11" s="548">
        <f t="shared" si="0"/>
        <v>0</v>
      </c>
      <c r="I11" s="547"/>
    </row>
    <row r="12" spans="1:14">
      <c r="A12" s="547">
        <f t="shared" si="1"/>
        <v>6</v>
      </c>
      <c r="B12" s="961"/>
      <c r="C12" s="961"/>
      <c r="D12" s="961"/>
      <c r="E12" s="960"/>
      <c r="F12" s="960"/>
      <c r="G12" s="960"/>
      <c r="H12" s="548">
        <f t="shared" si="0"/>
        <v>0</v>
      </c>
      <c r="I12" s="547"/>
    </row>
    <row r="13" spans="1:14">
      <c r="A13" s="547">
        <f t="shared" si="1"/>
        <v>7</v>
      </c>
      <c r="B13" s="961"/>
      <c r="C13" s="961"/>
      <c r="D13" s="961"/>
      <c r="E13" s="960"/>
      <c r="F13" s="960"/>
      <c r="G13" s="960"/>
      <c r="H13" s="548">
        <f t="shared" si="0"/>
        <v>0</v>
      </c>
      <c r="I13" s="547"/>
    </row>
    <row r="14" spans="1:14">
      <c r="A14" s="547">
        <f t="shared" si="1"/>
        <v>8</v>
      </c>
      <c r="B14" s="961"/>
      <c r="C14" s="961"/>
      <c r="D14" s="961"/>
      <c r="E14" s="960"/>
      <c r="F14" s="960"/>
      <c r="G14" s="960"/>
      <c r="H14" s="548">
        <f t="shared" si="0"/>
        <v>0</v>
      </c>
      <c r="I14" s="547"/>
    </row>
    <row r="15" spans="1:14">
      <c r="A15" s="547">
        <f t="shared" si="1"/>
        <v>9</v>
      </c>
      <c r="B15" s="961"/>
      <c r="C15" s="961"/>
      <c r="D15" s="961"/>
      <c r="E15" s="960"/>
      <c r="F15" s="960"/>
      <c r="G15" s="960"/>
      <c r="H15" s="548">
        <f t="shared" si="0"/>
        <v>0</v>
      </c>
      <c r="I15" s="547"/>
    </row>
    <row r="16" spans="1:14">
      <c r="A16" s="547">
        <f t="shared" si="1"/>
        <v>10</v>
      </c>
      <c r="B16" s="961"/>
      <c r="C16" s="961"/>
      <c r="D16" s="961"/>
      <c r="E16" s="960"/>
      <c r="F16" s="960"/>
      <c r="G16" s="960"/>
      <c r="H16" s="548">
        <f t="shared" si="0"/>
        <v>0</v>
      </c>
      <c r="I16" s="547"/>
    </row>
    <row r="17" spans="1:10">
      <c r="A17" s="547">
        <f t="shared" si="1"/>
        <v>11</v>
      </c>
      <c r="B17" s="343" t="s">
        <v>13</v>
      </c>
      <c r="C17" s="548">
        <f>SUM(C7:C16)</f>
        <v>0</v>
      </c>
      <c r="D17" s="548">
        <f t="shared" ref="D17" si="2">SUM(D7:D16)</f>
        <v>7745.7899999999991</v>
      </c>
      <c r="E17" s="548"/>
      <c r="F17" s="548"/>
      <c r="G17" s="548"/>
      <c r="H17" s="548">
        <f t="shared" si="0"/>
        <v>7745.7899999999991</v>
      </c>
      <c r="I17" s="547"/>
    </row>
    <row r="18" spans="1:10">
      <c r="A18" s="369"/>
      <c r="B18" s="343"/>
      <c r="C18" s="548"/>
      <c r="D18" s="548"/>
      <c r="E18" s="548"/>
      <c r="F18" s="548"/>
      <c r="G18" s="548"/>
      <c r="H18" s="548"/>
      <c r="I18" s="547"/>
    </row>
    <row r="19" spans="1:10">
      <c r="A19" s="370"/>
      <c r="B19" s="546" t="s">
        <v>1121</v>
      </c>
      <c r="I19" s="547"/>
    </row>
    <row r="20" spans="1:10">
      <c r="B20" s="546" t="s">
        <v>775</v>
      </c>
      <c r="C20" s="343" t="str">
        <f>C6</f>
        <v>Constellation Merger</v>
      </c>
      <c r="D20" s="343" t="str">
        <f>D6</f>
        <v>PHI Merger</v>
      </c>
      <c r="E20" s="343"/>
      <c r="F20" s="343"/>
      <c r="G20" s="343"/>
      <c r="H20" s="547" t="s">
        <v>13</v>
      </c>
    </row>
    <row r="21" spans="1:10">
      <c r="A21" s="547">
        <f>A17+1</f>
        <v>12</v>
      </c>
      <c r="B21" s="343" t="s">
        <v>195</v>
      </c>
      <c r="C21" s="963">
        <v>0</v>
      </c>
      <c r="D21" s="963">
        <v>3205041.70896</v>
      </c>
      <c r="E21" s="964"/>
      <c r="F21" s="964"/>
      <c r="G21" s="964"/>
      <c r="H21" s="548">
        <f t="shared" ref="H21:H33" si="3">SUM(C21:G21)</f>
        <v>3205041.70896</v>
      </c>
      <c r="J21" s="233"/>
    </row>
    <row r="22" spans="1:10">
      <c r="A22" s="547">
        <f>A21+1</f>
        <v>13</v>
      </c>
      <c r="B22" s="343" t="s">
        <v>84</v>
      </c>
      <c r="C22" s="963">
        <v>0</v>
      </c>
      <c r="D22" s="963">
        <v>3183945.02244</v>
      </c>
      <c r="E22" s="964"/>
      <c r="F22" s="964"/>
      <c r="G22" s="964"/>
      <c r="H22" s="548">
        <f t="shared" si="3"/>
        <v>3183945.02244</v>
      </c>
      <c r="J22" s="233"/>
    </row>
    <row r="23" spans="1:10">
      <c r="A23" s="547">
        <f t="shared" ref="A23:A34" si="4">A22+1</f>
        <v>14</v>
      </c>
      <c r="B23" s="343" t="s">
        <v>83</v>
      </c>
      <c r="C23" s="963">
        <v>0</v>
      </c>
      <c r="D23" s="963">
        <v>3183945.02244</v>
      </c>
      <c r="E23" s="964"/>
      <c r="F23" s="964"/>
      <c r="G23" s="964"/>
      <c r="H23" s="548">
        <f t="shared" si="3"/>
        <v>3183945.02244</v>
      </c>
      <c r="J23" s="233"/>
    </row>
    <row r="24" spans="1:10">
      <c r="A24" s="547">
        <f t="shared" si="4"/>
        <v>15</v>
      </c>
      <c r="B24" s="343" t="s">
        <v>171</v>
      </c>
      <c r="C24" s="963">
        <v>0</v>
      </c>
      <c r="D24" s="963">
        <v>3183945.02244</v>
      </c>
      <c r="E24" s="964"/>
      <c r="F24" s="964"/>
      <c r="G24" s="964"/>
      <c r="H24" s="548">
        <f t="shared" si="3"/>
        <v>3183945.02244</v>
      </c>
      <c r="J24" s="233"/>
    </row>
    <row r="25" spans="1:10">
      <c r="A25" s="547">
        <f t="shared" si="4"/>
        <v>16</v>
      </c>
      <c r="B25" s="343" t="s">
        <v>74</v>
      </c>
      <c r="C25" s="963">
        <v>0</v>
      </c>
      <c r="D25" s="963">
        <v>3183945.02244</v>
      </c>
      <c r="E25" s="964"/>
      <c r="F25" s="964"/>
      <c r="G25" s="964"/>
      <c r="H25" s="548">
        <f t="shared" si="3"/>
        <v>3183945.02244</v>
      </c>
      <c r="J25" s="233"/>
    </row>
    <row r="26" spans="1:10">
      <c r="A26" s="547">
        <f t="shared" si="4"/>
        <v>17</v>
      </c>
      <c r="B26" s="343" t="s">
        <v>73</v>
      </c>
      <c r="C26" s="963">
        <v>0</v>
      </c>
      <c r="D26" s="963">
        <v>3183945.02244</v>
      </c>
      <c r="E26" s="964"/>
      <c r="F26" s="964"/>
      <c r="G26" s="964"/>
      <c r="H26" s="548">
        <f t="shared" si="3"/>
        <v>3183945.02244</v>
      </c>
      <c r="J26" s="233"/>
    </row>
    <row r="27" spans="1:10">
      <c r="A27" s="547">
        <f t="shared" si="4"/>
        <v>18</v>
      </c>
      <c r="B27" s="343" t="s">
        <v>93</v>
      </c>
      <c r="C27" s="963">
        <v>0</v>
      </c>
      <c r="D27" s="963">
        <v>3183945.02244</v>
      </c>
      <c r="E27" s="964"/>
      <c r="F27" s="964"/>
      <c r="G27" s="964"/>
      <c r="H27" s="548">
        <f t="shared" si="3"/>
        <v>3183945.02244</v>
      </c>
      <c r="J27" s="233"/>
    </row>
    <row r="28" spans="1:10">
      <c r="A28" s="547">
        <f t="shared" si="4"/>
        <v>19</v>
      </c>
      <c r="B28" s="343" t="s">
        <v>81</v>
      </c>
      <c r="C28" s="963">
        <v>0</v>
      </c>
      <c r="D28" s="963">
        <v>3183945.02244</v>
      </c>
      <c r="E28" s="964"/>
      <c r="F28" s="964"/>
      <c r="G28" s="964"/>
      <c r="H28" s="548">
        <f t="shared" si="3"/>
        <v>3183945.02244</v>
      </c>
      <c r="J28" s="233"/>
    </row>
    <row r="29" spans="1:10">
      <c r="A29" s="547">
        <f t="shared" si="4"/>
        <v>20</v>
      </c>
      <c r="B29" s="343" t="s">
        <v>172</v>
      </c>
      <c r="C29" s="963">
        <v>0</v>
      </c>
      <c r="D29" s="963">
        <v>3183945.02244</v>
      </c>
      <c r="E29" s="964"/>
      <c r="F29" s="964"/>
      <c r="G29" s="964"/>
      <c r="H29" s="548">
        <f t="shared" si="3"/>
        <v>3183945.02244</v>
      </c>
      <c r="J29" s="233"/>
    </row>
    <row r="30" spans="1:10">
      <c r="A30" s="547">
        <f t="shared" si="4"/>
        <v>21</v>
      </c>
      <c r="B30" s="343" t="s">
        <v>79</v>
      </c>
      <c r="C30" s="963">
        <v>0</v>
      </c>
      <c r="D30" s="963">
        <v>3183945.02244</v>
      </c>
      <c r="E30" s="964"/>
      <c r="F30" s="964"/>
      <c r="G30" s="964"/>
      <c r="H30" s="548">
        <f t="shared" si="3"/>
        <v>3183945.02244</v>
      </c>
      <c r="J30" s="233"/>
    </row>
    <row r="31" spans="1:10">
      <c r="A31" s="547">
        <f t="shared" si="4"/>
        <v>22</v>
      </c>
      <c r="B31" s="343" t="s">
        <v>85</v>
      </c>
      <c r="C31" s="963">
        <v>0</v>
      </c>
      <c r="D31" s="963">
        <v>3183945.02244</v>
      </c>
      <c r="E31" s="964"/>
      <c r="F31" s="964"/>
      <c r="G31" s="964"/>
      <c r="H31" s="548">
        <f t="shared" si="3"/>
        <v>3183945.02244</v>
      </c>
      <c r="J31" s="233"/>
    </row>
    <row r="32" spans="1:10">
      <c r="A32" s="547">
        <f t="shared" si="4"/>
        <v>23</v>
      </c>
      <c r="B32" s="343" t="s">
        <v>78</v>
      </c>
      <c r="C32" s="963">
        <v>0</v>
      </c>
      <c r="D32" s="963">
        <v>3183945.02244</v>
      </c>
      <c r="E32" s="964"/>
      <c r="F32" s="964"/>
      <c r="G32" s="964"/>
      <c r="H32" s="548">
        <f t="shared" si="3"/>
        <v>3183945.02244</v>
      </c>
      <c r="J32" s="233"/>
    </row>
    <row r="33" spans="1:10">
      <c r="A33" s="547">
        <f t="shared" si="4"/>
        <v>24</v>
      </c>
      <c r="B33" s="343" t="s">
        <v>196</v>
      </c>
      <c r="C33" s="963">
        <v>0</v>
      </c>
      <c r="D33" s="963">
        <v>3183945.02244</v>
      </c>
      <c r="E33" s="964"/>
      <c r="F33" s="964"/>
      <c r="G33" s="964"/>
      <c r="H33" s="548">
        <f t="shared" si="3"/>
        <v>3183945.02244</v>
      </c>
      <c r="J33" s="233"/>
    </row>
    <row r="34" spans="1:10">
      <c r="A34" s="547">
        <f t="shared" si="4"/>
        <v>25</v>
      </c>
      <c r="B34" s="343" t="s">
        <v>481</v>
      </c>
      <c r="C34" s="549">
        <f>AVERAGE(C21:C33)</f>
        <v>0</v>
      </c>
      <c r="D34" s="549">
        <f>AVERAGE(D21:D33)</f>
        <v>3185567.8444800004</v>
      </c>
      <c r="E34" s="549"/>
      <c r="F34" s="549"/>
      <c r="G34" s="549"/>
      <c r="H34" s="549">
        <f>AVERAGE(H21:H33)</f>
        <v>3185567.8444800004</v>
      </c>
      <c r="J34" s="233"/>
    </row>
    <row r="35" spans="1:10">
      <c r="A35" s="547"/>
      <c r="B35" s="343"/>
      <c r="C35" s="549"/>
      <c r="D35" s="549"/>
      <c r="E35" s="549"/>
      <c r="F35" s="549"/>
      <c r="J35" s="233"/>
    </row>
    <row r="36" spans="1:10">
      <c r="J36" s="233"/>
    </row>
    <row r="37" spans="1:10">
      <c r="B37" s="546" t="s">
        <v>208</v>
      </c>
      <c r="C37" s="343" t="str">
        <f>C20</f>
        <v>Constellation Merger</v>
      </c>
      <c r="D37" s="343" t="str">
        <f>D20</f>
        <v>PHI Merger</v>
      </c>
      <c r="E37" s="343"/>
      <c r="F37" s="343"/>
      <c r="G37" s="343"/>
      <c r="H37" s="547" t="s">
        <v>13</v>
      </c>
      <c r="J37" s="233"/>
    </row>
    <row r="38" spans="1:10">
      <c r="A38" s="547">
        <f>A34+1</f>
        <v>26</v>
      </c>
      <c r="B38" s="343" t="s">
        <v>195</v>
      </c>
      <c r="C38" s="963">
        <v>0</v>
      </c>
      <c r="D38" s="963">
        <v>1329143.1730199996</v>
      </c>
      <c r="E38" s="964"/>
      <c r="F38" s="964"/>
      <c r="G38" s="964"/>
      <c r="H38" s="548">
        <f t="shared" ref="H38:H50" si="5">SUM(C38:G38)</f>
        <v>1329143.1730199996</v>
      </c>
      <c r="J38" s="233"/>
    </row>
    <row r="39" spans="1:10">
      <c r="A39" s="547">
        <f>A38+1</f>
        <v>27</v>
      </c>
      <c r="B39" s="343" t="s">
        <v>84</v>
      </c>
      <c r="C39" s="963">
        <v>0</v>
      </c>
      <c r="D39" s="963">
        <v>1389038.6310104425</v>
      </c>
      <c r="E39" s="964"/>
      <c r="F39" s="964"/>
      <c r="G39" s="964"/>
      <c r="H39" s="548">
        <f t="shared" si="5"/>
        <v>1389038.6310104425</v>
      </c>
      <c r="J39" s="233"/>
    </row>
    <row r="40" spans="1:10">
      <c r="A40" s="547">
        <f t="shared" ref="A40:A51" si="6">A39+1</f>
        <v>28</v>
      </c>
      <c r="B40" s="343" t="s">
        <v>83</v>
      </c>
      <c r="C40" s="963">
        <v>0</v>
      </c>
      <c r="D40" s="963">
        <v>1448611.0327670181</v>
      </c>
      <c r="E40" s="964"/>
      <c r="F40" s="964"/>
      <c r="G40" s="964"/>
      <c r="H40" s="548">
        <f t="shared" si="5"/>
        <v>1448611.0327670181</v>
      </c>
      <c r="J40" s="233"/>
    </row>
    <row r="41" spans="1:10">
      <c r="A41" s="547">
        <f t="shared" si="6"/>
        <v>29</v>
      </c>
      <c r="B41" s="343" t="s">
        <v>171</v>
      </c>
      <c r="C41" s="963">
        <v>0</v>
      </c>
      <c r="D41" s="963">
        <v>1507870.4093742373</v>
      </c>
      <c r="E41" s="964"/>
      <c r="F41" s="964"/>
      <c r="G41" s="964"/>
      <c r="H41" s="548">
        <f t="shared" si="5"/>
        <v>1507870.4093742373</v>
      </c>
      <c r="J41" s="233"/>
    </row>
    <row r="42" spans="1:10">
      <c r="A42" s="547">
        <f t="shared" si="6"/>
        <v>30</v>
      </c>
      <c r="B42" s="343" t="s">
        <v>74</v>
      </c>
      <c r="C42" s="963">
        <v>0</v>
      </c>
      <c r="D42" s="963">
        <v>1566826.4804455857</v>
      </c>
      <c r="E42" s="964"/>
      <c r="F42" s="964"/>
      <c r="G42" s="964"/>
      <c r="H42" s="548">
        <f t="shared" si="5"/>
        <v>1566826.4804455857</v>
      </c>
      <c r="J42" s="233"/>
    </row>
    <row r="43" spans="1:10">
      <c r="A43" s="547">
        <f t="shared" si="6"/>
        <v>31</v>
      </c>
      <c r="B43" s="343" t="s">
        <v>73</v>
      </c>
      <c r="C43" s="963">
        <v>0</v>
      </c>
      <c r="D43" s="963">
        <v>1625488.6637948803</v>
      </c>
      <c r="E43" s="964"/>
      <c r="F43" s="964"/>
      <c r="G43" s="964"/>
      <c r="H43" s="548">
        <f t="shared" si="5"/>
        <v>1625488.6637948803</v>
      </c>
      <c r="J43" s="233"/>
    </row>
    <row r="44" spans="1:10">
      <c r="A44" s="547">
        <f t="shared" si="6"/>
        <v>32</v>
      </c>
      <c r="B44" s="343" t="s">
        <v>93</v>
      </c>
      <c r="C44" s="963">
        <v>0</v>
      </c>
      <c r="D44" s="963">
        <v>1683866.0848073254</v>
      </c>
      <c r="E44" s="964"/>
      <c r="F44" s="964"/>
      <c r="G44" s="964"/>
      <c r="H44" s="548">
        <f t="shared" si="5"/>
        <v>1683866.0848073254</v>
      </c>
      <c r="J44" s="233"/>
    </row>
    <row r="45" spans="1:10">
      <c r="A45" s="547">
        <f t="shared" si="6"/>
        <v>33</v>
      </c>
      <c r="B45" s="343" t="s">
        <v>81</v>
      </c>
      <c r="C45" s="963">
        <v>0</v>
      </c>
      <c r="D45" s="963">
        <v>1741967.5855195916</v>
      </c>
      <c r="E45" s="964"/>
      <c r="F45" s="964"/>
      <c r="G45" s="964"/>
      <c r="H45" s="548">
        <f t="shared" si="5"/>
        <v>1741967.5855195916</v>
      </c>
      <c r="J45" s="233"/>
    </row>
    <row r="46" spans="1:10">
      <c r="A46" s="547">
        <f t="shared" si="6"/>
        <v>34</v>
      </c>
      <c r="B46" s="343" t="s">
        <v>172</v>
      </c>
      <c r="C46" s="963">
        <v>0</v>
      </c>
      <c r="D46" s="963">
        <v>1799801.7334179529</v>
      </c>
      <c r="E46" s="964"/>
      <c r="F46" s="964"/>
      <c r="G46" s="964"/>
      <c r="H46" s="548">
        <f t="shared" si="5"/>
        <v>1799801.7334179529</v>
      </c>
      <c r="J46" s="233"/>
    </row>
    <row r="47" spans="1:10">
      <c r="A47" s="547">
        <f t="shared" si="6"/>
        <v>35</v>
      </c>
      <c r="B47" s="343" t="s">
        <v>79</v>
      </c>
      <c r="C47" s="963">
        <v>0</v>
      </c>
      <c r="D47" s="963">
        <v>1857376.8299632368</v>
      </c>
      <c r="E47" s="964"/>
      <c r="F47" s="964"/>
      <c r="G47" s="964"/>
      <c r="H47" s="548">
        <f t="shared" si="5"/>
        <v>1857376.8299632368</v>
      </c>
      <c r="J47" s="233"/>
    </row>
    <row r="48" spans="1:10">
      <c r="A48" s="547">
        <f t="shared" si="6"/>
        <v>36</v>
      </c>
      <c r="B48" s="343" t="s">
        <v>85</v>
      </c>
      <c r="C48" s="963">
        <v>0</v>
      </c>
      <c r="D48" s="963">
        <v>1914700.9188510696</v>
      </c>
      <c r="E48" s="964"/>
      <c r="F48" s="964"/>
      <c r="G48" s="964"/>
      <c r="H48" s="548">
        <f t="shared" si="5"/>
        <v>1914700.9188510696</v>
      </c>
      <c r="J48" s="233"/>
    </row>
    <row r="49" spans="1:10">
      <c r="A49" s="547">
        <f t="shared" si="6"/>
        <v>37</v>
      </c>
      <c r="B49" s="343" t="s">
        <v>78</v>
      </c>
      <c r="C49" s="963">
        <v>0</v>
      </c>
      <c r="D49" s="963">
        <v>1971781.7940156367</v>
      </c>
      <c r="E49" s="964"/>
      <c r="F49" s="964"/>
      <c r="G49" s="964"/>
      <c r="H49" s="548">
        <f t="shared" si="5"/>
        <v>1971781.7940156367</v>
      </c>
      <c r="J49" s="233"/>
    </row>
    <row r="50" spans="1:10">
      <c r="A50" s="547">
        <f t="shared" si="6"/>
        <v>38</v>
      </c>
      <c r="B50" s="343" t="s">
        <v>196</v>
      </c>
      <c r="C50" s="963">
        <v>0</v>
      </c>
      <c r="D50" s="963">
        <v>2028627.0073849196</v>
      </c>
      <c r="E50" s="964"/>
      <c r="F50" s="964"/>
      <c r="G50" s="964"/>
      <c r="H50" s="548">
        <f t="shared" si="5"/>
        <v>2028627.0073849196</v>
      </c>
      <c r="J50" s="233"/>
    </row>
    <row r="51" spans="1:10">
      <c r="A51" s="547">
        <f t="shared" si="6"/>
        <v>39</v>
      </c>
      <c r="B51" s="343" t="s">
        <v>481</v>
      </c>
      <c r="C51" s="549">
        <f>AVERAGE(C38:C50)</f>
        <v>0</v>
      </c>
      <c r="D51" s="549">
        <f>AVERAGE(D38:D50)</f>
        <v>1681930.7957209148</v>
      </c>
      <c r="E51" s="549"/>
      <c r="F51" s="549"/>
      <c r="G51" s="549"/>
      <c r="H51" s="549">
        <f>AVERAGE(H38:H50)</f>
        <v>1681930.7957209148</v>
      </c>
      <c r="J51" s="233"/>
    </row>
    <row r="52" spans="1:10" ht="18.75">
      <c r="B52" s="1062" t="str">
        <f>+'Attachment H-7'!D177</f>
        <v>PECO Energy Company</v>
      </c>
      <c r="C52" s="1062"/>
      <c r="D52" s="1062"/>
      <c r="E52" s="1062"/>
      <c r="F52" s="1062"/>
      <c r="G52" s="1062"/>
    </row>
    <row r="53" spans="1:10" ht="20.25">
      <c r="A53" s="542"/>
      <c r="B53" s="543"/>
      <c r="C53" s="544"/>
      <c r="D53" s="545"/>
      <c r="E53" s="541"/>
      <c r="F53" s="541"/>
      <c r="G53" s="541"/>
      <c r="H53" s="16" t="s">
        <v>154</v>
      </c>
    </row>
    <row r="54" spans="1:10">
      <c r="A54" s="1063" t="str">
        <f>+A3</f>
        <v>Attachment 4E - Cost to Achieve Mergers (Note A)</v>
      </c>
      <c r="B54" s="1063"/>
      <c r="C54" s="1063"/>
      <c r="D54" s="1063"/>
      <c r="E54" s="1063"/>
      <c r="F54" s="1063"/>
      <c r="G54" s="541"/>
    </row>
    <row r="55" spans="1:10">
      <c r="B55" s="369" t="s">
        <v>198</v>
      </c>
      <c r="C55" s="369" t="s">
        <v>199</v>
      </c>
      <c r="D55" s="369" t="s">
        <v>200</v>
      </c>
      <c r="E55" s="369" t="s">
        <v>201</v>
      </c>
      <c r="F55" s="369" t="s">
        <v>203</v>
      </c>
      <c r="G55" s="369" t="s">
        <v>972</v>
      </c>
      <c r="H55" s="369" t="s">
        <v>976</v>
      </c>
    </row>
    <row r="56" spans="1:10">
      <c r="A56" s="541"/>
      <c r="B56" s="546" t="s">
        <v>977</v>
      </c>
      <c r="C56" s="343" t="str">
        <f>C37</f>
        <v>Constellation Merger</v>
      </c>
      <c r="D56" s="343" t="str">
        <f t="shared" ref="D56" si="7">D37</f>
        <v>PHI Merger</v>
      </c>
      <c r="E56" s="343"/>
      <c r="F56" s="343"/>
      <c r="G56" s="343"/>
      <c r="H56" s="547" t="s">
        <v>13</v>
      </c>
    </row>
    <row r="57" spans="1:10">
      <c r="A57" s="547">
        <f>A51+1</f>
        <v>40</v>
      </c>
      <c r="B57" s="343" t="s">
        <v>195</v>
      </c>
      <c r="C57" s="549">
        <f t="shared" ref="C57:D69" si="8">C21-C38</f>
        <v>0</v>
      </c>
      <c r="D57" s="549">
        <f t="shared" si="8"/>
        <v>1875898.5359400003</v>
      </c>
      <c r="E57" s="549">
        <f t="shared" ref="E57:G57" si="9">E21-E38</f>
        <v>0</v>
      </c>
      <c r="F57" s="549">
        <f t="shared" si="9"/>
        <v>0</v>
      </c>
      <c r="G57" s="549">
        <f t="shared" si="9"/>
        <v>0</v>
      </c>
      <c r="H57" s="548">
        <f t="shared" ref="H57:H69" si="10">SUM(C57:G57)</f>
        <v>1875898.5359400003</v>
      </c>
    </row>
    <row r="58" spans="1:10">
      <c r="A58" s="547">
        <f>A57+1</f>
        <v>41</v>
      </c>
      <c r="B58" s="343" t="s">
        <v>84</v>
      </c>
      <c r="C58" s="549">
        <f t="shared" si="8"/>
        <v>0</v>
      </c>
      <c r="D58" s="549">
        <f t="shared" si="8"/>
        <v>1794906.3914295575</v>
      </c>
      <c r="E58" s="549">
        <f t="shared" ref="E58:G58" si="11">E22-E39</f>
        <v>0</v>
      </c>
      <c r="F58" s="549">
        <f t="shared" si="11"/>
        <v>0</v>
      </c>
      <c r="G58" s="549">
        <f t="shared" si="11"/>
        <v>0</v>
      </c>
      <c r="H58" s="548">
        <f t="shared" si="10"/>
        <v>1794906.3914295575</v>
      </c>
    </row>
    <row r="59" spans="1:10">
      <c r="A59" s="547">
        <f t="shared" ref="A59:A70" si="12">A58+1</f>
        <v>42</v>
      </c>
      <c r="B59" s="343" t="s">
        <v>83</v>
      </c>
      <c r="C59" s="549">
        <f t="shared" si="8"/>
        <v>0</v>
      </c>
      <c r="D59" s="549">
        <f t="shared" si="8"/>
        <v>1735333.9896729819</v>
      </c>
      <c r="E59" s="549">
        <f t="shared" ref="E59:G59" si="13">E23-E40</f>
        <v>0</v>
      </c>
      <c r="F59" s="549">
        <f t="shared" si="13"/>
        <v>0</v>
      </c>
      <c r="G59" s="549">
        <f t="shared" si="13"/>
        <v>0</v>
      </c>
      <c r="H59" s="548">
        <f t="shared" si="10"/>
        <v>1735333.9896729819</v>
      </c>
    </row>
    <row r="60" spans="1:10">
      <c r="A60" s="547">
        <f t="shared" si="12"/>
        <v>43</v>
      </c>
      <c r="B60" s="343" t="s">
        <v>171</v>
      </c>
      <c r="C60" s="549">
        <f t="shared" si="8"/>
        <v>0</v>
      </c>
      <c r="D60" s="549">
        <f t="shared" si="8"/>
        <v>1676074.6130657627</v>
      </c>
      <c r="E60" s="549">
        <f t="shared" ref="E60:G60" si="14">E24-E41</f>
        <v>0</v>
      </c>
      <c r="F60" s="549">
        <f t="shared" si="14"/>
        <v>0</v>
      </c>
      <c r="G60" s="549">
        <f t="shared" si="14"/>
        <v>0</v>
      </c>
      <c r="H60" s="548">
        <f t="shared" si="10"/>
        <v>1676074.6130657627</v>
      </c>
    </row>
    <row r="61" spans="1:10">
      <c r="A61" s="547">
        <f t="shared" si="12"/>
        <v>44</v>
      </c>
      <c r="B61" s="343" t="s">
        <v>74</v>
      </c>
      <c r="C61" s="549">
        <f t="shared" si="8"/>
        <v>0</v>
      </c>
      <c r="D61" s="549">
        <f t="shared" si="8"/>
        <v>1617118.5419944143</v>
      </c>
      <c r="E61" s="549">
        <f t="shared" ref="E61:G61" si="15">E25-E42</f>
        <v>0</v>
      </c>
      <c r="F61" s="549">
        <f t="shared" si="15"/>
        <v>0</v>
      </c>
      <c r="G61" s="549">
        <f t="shared" si="15"/>
        <v>0</v>
      </c>
      <c r="H61" s="548">
        <f t="shared" si="10"/>
        <v>1617118.5419944143</v>
      </c>
    </row>
    <row r="62" spans="1:10">
      <c r="A62" s="547">
        <f t="shared" si="12"/>
        <v>45</v>
      </c>
      <c r="B62" s="343" t="s">
        <v>73</v>
      </c>
      <c r="C62" s="549">
        <f t="shared" si="8"/>
        <v>0</v>
      </c>
      <c r="D62" s="549">
        <f t="shared" si="8"/>
        <v>1558456.3586451197</v>
      </c>
      <c r="E62" s="549">
        <f t="shared" ref="E62:G62" si="16">E26-E43</f>
        <v>0</v>
      </c>
      <c r="F62" s="549">
        <f t="shared" si="16"/>
        <v>0</v>
      </c>
      <c r="G62" s="549">
        <f t="shared" si="16"/>
        <v>0</v>
      </c>
      <c r="H62" s="548">
        <f t="shared" si="10"/>
        <v>1558456.3586451197</v>
      </c>
    </row>
    <row r="63" spans="1:10">
      <c r="A63" s="547">
        <f t="shared" si="12"/>
        <v>46</v>
      </c>
      <c r="B63" s="343" t="s">
        <v>93</v>
      </c>
      <c r="C63" s="549">
        <f t="shared" si="8"/>
        <v>0</v>
      </c>
      <c r="D63" s="549">
        <f t="shared" si="8"/>
        <v>1500078.9376326746</v>
      </c>
      <c r="E63" s="549">
        <f t="shared" ref="E63:G63" si="17">E27-E44</f>
        <v>0</v>
      </c>
      <c r="F63" s="549">
        <f t="shared" si="17"/>
        <v>0</v>
      </c>
      <c r="G63" s="549">
        <f t="shared" si="17"/>
        <v>0</v>
      </c>
      <c r="H63" s="548">
        <f t="shared" si="10"/>
        <v>1500078.9376326746</v>
      </c>
    </row>
    <row r="64" spans="1:10">
      <c r="A64" s="547">
        <f t="shared" si="12"/>
        <v>47</v>
      </c>
      <c r="B64" s="343" t="s">
        <v>81</v>
      </c>
      <c r="C64" s="549">
        <f t="shared" si="8"/>
        <v>0</v>
      </c>
      <c r="D64" s="549">
        <f t="shared" si="8"/>
        <v>1441977.4369204084</v>
      </c>
      <c r="E64" s="549">
        <f t="shared" ref="E64:G64" si="18">E28-E45</f>
        <v>0</v>
      </c>
      <c r="F64" s="549">
        <f t="shared" si="18"/>
        <v>0</v>
      </c>
      <c r="G64" s="549">
        <f t="shared" si="18"/>
        <v>0</v>
      </c>
      <c r="H64" s="548">
        <f t="shared" si="10"/>
        <v>1441977.4369204084</v>
      </c>
    </row>
    <row r="65" spans="1:8">
      <c r="A65" s="547">
        <f t="shared" si="12"/>
        <v>48</v>
      </c>
      <c r="B65" s="343" t="s">
        <v>172</v>
      </c>
      <c r="C65" s="549">
        <f t="shared" si="8"/>
        <v>0</v>
      </c>
      <c r="D65" s="549">
        <f t="shared" si="8"/>
        <v>1384143.2890220471</v>
      </c>
      <c r="E65" s="549">
        <f t="shared" ref="E65:G65" si="19">E29-E46</f>
        <v>0</v>
      </c>
      <c r="F65" s="549">
        <f t="shared" si="19"/>
        <v>0</v>
      </c>
      <c r="G65" s="549">
        <f t="shared" si="19"/>
        <v>0</v>
      </c>
      <c r="H65" s="548">
        <f t="shared" si="10"/>
        <v>1384143.2890220471</v>
      </c>
    </row>
    <row r="66" spans="1:8">
      <c r="A66" s="547">
        <f t="shared" si="12"/>
        <v>49</v>
      </c>
      <c r="B66" s="343" t="s">
        <v>79</v>
      </c>
      <c r="C66" s="549">
        <f t="shared" si="8"/>
        <v>0</v>
      </c>
      <c r="D66" s="549">
        <f t="shared" si="8"/>
        <v>1326568.1924767632</v>
      </c>
      <c r="E66" s="549">
        <f t="shared" ref="E66:G66" si="20">E30-E47</f>
        <v>0</v>
      </c>
      <c r="F66" s="549">
        <f t="shared" si="20"/>
        <v>0</v>
      </c>
      <c r="G66" s="549">
        <f t="shared" si="20"/>
        <v>0</v>
      </c>
      <c r="H66" s="548">
        <f t="shared" si="10"/>
        <v>1326568.1924767632</v>
      </c>
    </row>
    <row r="67" spans="1:8">
      <c r="A67" s="547">
        <f t="shared" si="12"/>
        <v>50</v>
      </c>
      <c r="B67" s="343" t="s">
        <v>85</v>
      </c>
      <c r="C67" s="549">
        <f t="shared" si="8"/>
        <v>0</v>
      </c>
      <c r="D67" s="549">
        <f t="shared" si="8"/>
        <v>1269244.1035889303</v>
      </c>
      <c r="E67" s="549">
        <f t="shared" ref="E67:G67" si="21">E31-E48</f>
        <v>0</v>
      </c>
      <c r="F67" s="549">
        <f t="shared" si="21"/>
        <v>0</v>
      </c>
      <c r="G67" s="549">
        <f t="shared" si="21"/>
        <v>0</v>
      </c>
      <c r="H67" s="548">
        <f t="shared" si="10"/>
        <v>1269244.1035889303</v>
      </c>
    </row>
    <row r="68" spans="1:8">
      <c r="A68" s="547">
        <f t="shared" si="12"/>
        <v>51</v>
      </c>
      <c r="B68" s="343" t="s">
        <v>78</v>
      </c>
      <c r="C68" s="549">
        <f t="shared" si="8"/>
        <v>0</v>
      </c>
      <c r="D68" s="549">
        <f t="shared" si="8"/>
        <v>1212163.2284243633</v>
      </c>
      <c r="E68" s="549">
        <f t="shared" ref="E68:G68" si="22">E32-E49</f>
        <v>0</v>
      </c>
      <c r="F68" s="549">
        <f t="shared" si="22"/>
        <v>0</v>
      </c>
      <c r="G68" s="549">
        <f t="shared" si="22"/>
        <v>0</v>
      </c>
      <c r="H68" s="548">
        <f t="shared" si="10"/>
        <v>1212163.2284243633</v>
      </c>
    </row>
    <row r="69" spans="1:8">
      <c r="A69" s="547">
        <f t="shared" si="12"/>
        <v>52</v>
      </c>
      <c r="B69" s="343" t="s">
        <v>196</v>
      </c>
      <c r="C69" s="549">
        <f t="shared" si="8"/>
        <v>0</v>
      </c>
      <c r="D69" s="549">
        <f t="shared" si="8"/>
        <v>1155318.0150550804</v>
      </c>
      <c r="E69" s="549">
        <f t="shared" ref="E69:G69" si="23">E33-E50</f>
        <v>0</v>
      </c>
      <c r="F69" s="549">
        <f t="shared" si="23"/>
        <v>0</v>
      </c>
      <c r="G69" s="549">
        <f t="shared" si="23"/>
        <v>0</v>
      </c>
      <c r="H69" s="548">
        <f t="shared" si="10"/>
        <v>1155318.0150550804</v>
      </c>
    </row>
    <row r="70" spans="1:8">
      <c r="A70" s="547">
        <f t="shared" si="12"/>
        <v>53</v>
      </c>
      <c r="B70" s="343" t="s">
        <v>481</v>
      </c>
      <c r="C70" s="549">
        <f>C34-C51</f>
        <v>0</v>
      </c>
      <c r="D70" s="549">
        <f>AVERAGE(D57:D69)</f>
        <v>1503637.0487590847</v>
      </c>
      <c r="E70" s="549">
        <f t="shared" ref="E70:G70" si="24">AVERAGE(E57:E69)</f>
        <v>0</v>
      </c>
      <c r="F70" s="549">
        <f t="shared" si="24"/>
        <v>0</v>
      </c>
      <c r="G70" s="549">
        <f t="shared" si="24"/>
        <v>0</v>
      </c>
      <c r="H70" s="549">
        <f>AVERAGE(H57:H69)</f>
        <v>1503637.0487590847</v>
      </c>
    </row>
    <row r="71" spans="1:8">
      <c r="A71" s="541"/>
    </row>
    <row r="72" spans="1:8">
      <c r="A72" s="541"/>
    </row>
    <row r="73" spans="1:8">
      <c r="A73" s="541"/>
      <c r="B73" s="546" t="s">
        <v>973</v>
      </c>
      <c r="C73" s="343" t="str">
        <f>C56</f>
        <v>Constellation Merger</v>
      </c>
      <c r="D73" s="343" t="str">
        <f>D56</f>
        <v>PHI Merger</v>
      </c>
      <c r="H73" s="547" t="s">
        <v>13</v>
      </c>
    </row>
    <row r="74" spans="1:8">
      <c r="A74" s="547">
        <f>A70+1</f>
        <v>54</v>
      </c>
      <c r="B74" s="343" t="s">
        <v>84</v>
      </c>
      <c r="C74" s="549">
        <f>C39-C38</f>
        <v>0</v>
      </c>
      <c r="D74" s="549">
        <f>D39-D38</f>
        <v>59895.457990442868</v>
      </c>
      <c r="H74" s="548">
        <f t="shared" ref="H74:H86" si="25">SUM(C74:G74)</f>
        <v>59895.457990442868</v>
      </c>
    </row>
    <row r="75" spans="1:8">
      <c r="A75" s="547">
        <f t="shared" ref="A75:A86" si="26">A74+1</f>
        <v>55</v>
      </c>
      <c r="B75" s="343" t="s">
        <v>83</v>
      </c>
      <c r="C75" s="549">
        <f>C40-C39</f>
        <v>0</v>
      </c>
      <c r="D75" s="549">
        <f>D40-D39</f>
        <v>59572.401756575564</v>
      </c>
      <c r="H75" s="548">
        <f t="shared" si="25"/>
        <v>59572.401756575564</v>
      </c>
    </row>
    <row r="76" spans="1:8">
      <c r="A76" s="547">
        <f t="shared" si="26"/>
        <v>56</v>
      </c>
      <c r="B76" s="343" t="s">
        <v>171</v>
      </c>
      <c r="C76" s="549">
        <f>(C41*31/12-C40)*12/31</f>
        <v>0</v>
      </c>
      <c r="D76" s="549">
        <f t="shared" ref="D76:D85" si="27">D41-D40</f>
        <v>59259.376607219223</v>
      </c>
      <c r="H76" s="548">
        <f t="shared" si="25"/>
        <v>59259.376607219223</v>
      </c>
    </row>
    <row r="77" spans="1:8">
      <c r="A77" s="547">
        <f t="shared" si="26"/>
        <v>57</v>
      </c>
      <c r="B77" s="343" t="s">
        <v>74</v>
      </c>
      <c r="C77" s="549">
        <f>C42-C41*0</f>
        <v>0</v>
      </c>
      <c r="D77" s="549">
        <f t="shared" si="27"/>
        <v>58956.071071348386</v>
      </c>
      <c r="H77" s="548">
        <f t="shared" si="25"/>
        <v>58956.071071348386</v>
      </c>
    </row>
    <row r="78" spans="1:8">
      <c r="A78" s="547">
        <f t="shared" si="26"/>
        <v>58</v>
      </c>
      <c r="B78" s="343" t="s">
        <v>73</v>
      </c>
      <c r="C78" s="549">
        <f t="shared" ref="C78:C85" si="28">C43-C42</f>
        <v>0</v>
      </c>
      <c r="D78" s="549">
        <f t="shared" si="27"/>
        <v>58662.183349294588</v>
      </c>
      <c r="H78" s="548">
        <f t="shared" si="25"/>
        <v>58662.183349294588</v>
      </c>
    </row>
    <row r="79" spans="1:8">
      <c r="A79" s="547">
        <f t="shared" si="26"/>
        <v>59</v>
      </c>
      <c r="B79" s="343" t="s">
        <v>93</v>
      </c>
      <c r="C79" s="549">
        <f t="shared" si="28"/>
        <v>0</v>
      </c>
      <c r="D79" s="549">
        <f t="shared" si="27"/>
        <v>58377.42101244512</v>
      </c>
      <c r="H79" s="548">
        <f t="shared" si="25"/>
        <v>58377.42101244512</v>
      </c>
    </row>
    <row r="80" spans="1:8">
      <c r="A80" s="547">
        <f t="shared" si="26"/>
        <v>60</v>
      </c>
      <c r="B80" s="343" t="s">
        <v>81</v>
      </c>
      <c r="C80" s="549">
        <f t="shared" si="28"/>
        <v>0</v>
      </c>
      <c r="D80" s="549">
        <f t="shared" si="27"/>
        <v>58101.500712266192</v>
      </c>
      <c r="H80" s="548">
        <f t="shared" si="25"/>
        <v>58101.500712266192</v>
      </c>
    </row>
    <row r="81" spans="1:8">
      <c r="A81" s="547">
        <f t="shared" si="26"/>
        <v>61</v>
      </c>
      <c r="B81" s="343" t="s">
        <v>172</v>
      </c>
      <c r="C81" s="549">
        <f t="shared" si="28"/>
        <v>0</v>
      </c>
      <c r="D81" s="549">
        <f t="shared" si="27"/>
        <v>57834.14789836132</v>
      </c>
      <c r="H81" s="548">
        <f t="shared" si="25"/>
        <v>57834.14789836132</v>
      </c>
    </row>
    <row r="82" spans="1:8">
      <c r="A82" s="547">
        <f t="shared" si="26"/>
        <v>62</v>
      </c>
      <c r="B82" s="343" t="s">
        <v>79</v>
      </c>
      <c r="C82" s="549">
        <f t="shared" si="28"/>
        <v>0</v>
      </c>
      <c r="D82" s="549">
        <f t="shared" si="27"/>
        <v>57575.096545283915</v>
      </c>
      <c r="H82" s="548">
        <f t="shared" si="25"/>
        <v>57575.096545283915</v>
      </c>
    </row>
    <row r="83" spans="1:8">
      <c r="A83" s="547">
        <f t="shared" si="26"/>
        <v>63</v>
      </c>
      <c r="B83" s="343" t="s">
        <v>85</v>
      </c>
      <c r="C83" s="549">
        <f t="shared" si="28"/>
        <v>0</v>
      </c>
      <c r="D83" s="549">
        <f t="shared" si="27"/>
        <v>57324.088887832826</v>
      </c>
      <c r="H83" s="548">
        <f t="shared" si="25"/>
        <v>57324.088887832826</v>
      </c>
    </row>
    <row r="84" spans="1:8">
      <c r="A84" s="547">
        <f t="shared" si="26"/>
        <v>64</v>
      </c>
      <c r="B84" s="343" t="s">
        <v>78</v>
      </c>
      <c r="C84" s="549">
        <f t="shared" si="28"/>
        <v>0</v>
      </c>
      <c r="D84" s="549">
        <f t="shared" si="27"/>
        <v>57080.875164567027</v>
      </c>
      <c r="H84" s="548">
        <f t="shared" si="25"/>
        <v>57080.875164567027</v>
      </c>
    </row>
    <row r="85" spans="1:8">
      <c r="A85" s="547">
        <f t="shared" si="26"/>
        <v>65</v>
      </c>
      <c r="B85" s="343" t="s">
        <v>196</v>
      </c>
      <c r="C85" s="549">
        <f t="shared" si="28"/>
        <v>0</v>
      </c>
      <c r="D85" s="549">
        <f t="shared" si="27"/>
        <v>56845.213369282894</v>
      </c>
      <c r="H85" s="548">
        <f t="shared" si="25"/>
        <v>56845.213369282894</v>
      </c>
    </row>
    <row r="86" spans="1:8">
      <c r="A86" s="547">
        <f t="shared" si="26"/>
        <v>66</v>
      </c>
      <c r="B86" s="343" t="s">
        <v>13</v>
      </c>
      <c r="C86" s="549">
        <f>SUM(C74:C85)</f>
        <v>0</v>
      </c>
      <c r="D86" s="549">
        <f>SUM(D74:D85)</f>
        <v>699483.83436491992</v>
      </c>
      <c r="H86" s="548">
        <f t="shared" si="25"/>
        <v>699483.83436491992</v>
      </c>
    </row>
    <row r="87" spans="1:8">
      <c r="H87" s="549"/>
    </row>
    <row r="88" spans="1:8" ht="16.5" thickBot="1">
      <c r="A88" s="550" t="s">
        <v>1260</v>
      </c>
      <c r="H88" s="549"/>
    </row>
    <row r="89" spans="1:8">
      <c r="A89" s="16" t="s">
        <v>1231</v>
      </c>
    </row>
  </sheetData>
  <sheetProtection algorithmName="SHA-512" hashValue="r31CcX2k2r9JllM2WwZWR1vMnBrMO2JGNs7m+tUA7rTp2YEiQqKRDBF8qRcZyA45Po9TmrTuNb0BRA2FdFiajA==" saltValue="NG3oI5QjLh6286H1CGvtBA==" spinCount="100000" sheet="1" objects="1" scenarios="1"/>
  <mergeCells count="4">
    <mergeCell ref="A1:F1"/>
    <mergeCell ref="A3:F3"/>
    <mergeCell ref="A54:F54"/>
    <mergeCell ref="B52:G52"/>
  </mergeCells>
  <pageMargins left="0.7" right="0.7" top="0.75" bottom="0.75" header="0.3" footer="0.3"/>
  <pageSetup scale="55" fitToHeight="2" orientation="landscape" r:id="rId1"/>
  <rowBreaks count="1" manualBreakCount="1">
    <brk id="5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6"/>
  <sheetViews>
    <sheetView view="pageBreakPreview" zoomScale="80" zoomScaleNormal="100" zoomScaleSheetLayoutView="80" workbookViewId="0">
      <selection activeCell="H38" sqref="H38"/>
    </sheetView>
  </sheetViews>
  <sheetFormatPr defaultColWidth="14" defaultRowHeight="12.75"/>
  <cols>
    <col min="1" max="1" width="5.77734375" style="551" bestFit="1" customWidth="1"/>
    <col min="2" max="2" width="23.6640625" style="21" customWidth="1"/>
    <col min="3" max="3" width="16.77734375" style="21" customWidth="1"/>
    <col min="4" max="4" width="16.33203125" style="21" customWidth="1"/>
    <col min="5" max="5" width="18.88671875" style="21" customWidth="1"/>
    <col min="6" max="6" width="15.44140625" style="21" customWidth="1"/>
    <col min="7" max="7" width="13.21875" style="21" customWidth="1"/>
    <col min="8" max="8" width="12.44140625" style="21" bestFit="1" customWidth="1"/>
    <col min="9" max="9" width="17.6640625" style="21" bestFit="1" customWidth="1"/>
    <col min="10" max="10" width="16" style="21" customWidth="1"/>
    <col min="11" max="11" width="12.5546875" style="21" bestFit="1" customWidth="1"/>
    <col min="12" max="13" width="13.109375" style="21" customWidth="1"/>
    <col min="14" max="14" width="14" style="21"/>
    <col min="15" max="15" width="10" style="21" bestFit="1" customWidth="1"/>
    <col min="16" max="16384" width="14" style="21"/>
  </cols>
  <sheetData>
    <row r="1" spans="1:15">
      <c r="G1" s="151" t="s">
        <v>192</v>
      </c>
      <c r="M1" s="328" t="s">
        <v>422</v>
      </c>
    </row>
    <row r="2" spans="1:15" ht="15" customHeight="1">
      <c r="G2" s="282" t="s">
        <v>1381</v>
      </c>
    </row>
    <row r="3" spans="1:15">
      <c r="D3" s="22"/>
      <c r="E3" s="22"/>
      <c r="F3" s="22"/>
      <c r="G3" s="24" t="str">
        <f>+'Attachment H-7'!D5</f>
        <v>PECO Energy Company</v>
      </c>
      <c r="H3" s="22"/>
      <c r="J3" s="22"/>
      <c r="K3" s="22"/>
      <c r="L3" s="22"/>
      <c r="M3" s="22"/>
      <c r="N3" s="22"/>
    </row>
    <row r="4" spans="1:15">
      <c r="B4" s="4"/>
    </row>
    <row r="6" spans="1:15" s="555" customFormat="1" ht="69.75" customHeight="1">
      <c r="A6" s="552" t="s">
        <v>155</v>
      </c>
      <c r="B6" s="553" t="s">
        <v>167</v>
      </c>
      <c r="C6" s="553" t="s">
        <v>276</v>
      </c>
      <c r="D6" s="553" t="s">
        <v>245</v>
      </c>
      <c r="E6" s="553" t="s">
        <v>246</v>
      </c>
      <c r="F6" s="553" t="s">
        <v>682</v>
      </c>
      <c r="G6" s="553" t="s">
        <v>277</v>
      </c>
      <c r="H6" s="554" t="s">
        <v>322</v>
      </c>
      <c r="I6" s="553" t="s">
        <v>278</v>
      </c>
      <c r="J6" s="553" t="s">
        <v>761</v>
      </c>
      <c r="K6" s="553" t="s">
        <v>1514</v>
      </c>
      <c r="L6" s="553" t="s">
        <v>1515</v>
      </c>
      <c r="M6" s="553" t="s">
        <v>1553</v>
      </c>
      <c r="O6" s="556"/>
    </row>
    <row r="7" spans="1:15" s="555" customFormat="1">
      <c r="A7" s="552"/>
      <c r="B7" s="553"/>
      <c r="C7" s="557" t="s">
        <v>198</v>
      </c>
      <c r="D7" s="327" t="s">
        <v>199</v>
      </c>
      <c r="E7" s="327" t="s">
        <v>200</v>
      </c>
      <c r="F7" s="558" t="s">
        <v>201</v>
      </c>
      <c r="G7" s="348" t="s">
        <v>203</v>
      </c>
      <c r="H7" s="282" t="s">
        <v>202</v>
      </c>
      <c r="I7" s="282" t="s">
        <v>204</v>
      </c>
      <c r="J7" s="348" t="s">
        <v>205</v>
      </c>
      <c r="K7" s="555" t="s">
        <v>206</v>
      </c>
      <c r="L7" s="555" t="s">
        <v>244</v>
      </c>
      <c r="M7" s="555" t="s">
        <v>248</v>
      </c>
      <c r="O7" s="556"/>
    </row>
    <row r="8" spans="1:15" ht="25.5" customHeight="1">
      <c r="A8" s="559"/>
      <c r="B8" s="336" t="s">
        <v>1382</v>
      </c>
      <c r="C8" s="557">
        <v>1</v>
      </c>
      <c r="D8" s="557">
        <v>2</v>
      </c>
      <c r="E8" s="557">
        <v>3</v>
      </c>
      <c r="F8" s="557"/>
      <c r="G8" s="557">
        <v>11</v>
      </c>
      <c r="H8" s="557">
        <v>12</v>
      </c>
      <c r="I8" s="557">
        <v>16</v>
      </c>
      <c r="J8" s="557"/>
      <c r="O8" s="560"/>
    </row>
    <row r="9" spans="1:15" s="563" customFormat="1" ht="54" customHeight="1">
      <c r="A9" s="559"/>
      <c r="B9" s="561" t="s">
        <v>398</v>
      </c>
      <c r="C9" s="282" t="s">
        <v>399</v>
      </c>
      <c r="D9" s="282" t="s">
        <v>400</v>
      </c>
      <c r="E9" s="282" t="s">
        <v>401</v>
      </c>
      <c r="F9" s="562" t="s">
        <v>683</v>
      </c>
      <c r="G9" s="562" t="s">
        <v>402</v>
      </c>
      <c r="H9" s="562" t="s">
        <v>403</v>
      </c>
      <c r="I9" s="562" t="s">
        <v>1511</v>
      </c>
      <c r="J9" s="562" t="s">
        <v>1576</v>
      </c>
      <c r="K9" s="562" t="s">
        <v>1513</v>
      </c>
      <c r="L9" s="562" t="s">
        <v>1555</v>
      </c>
      <c r="M9" s="562" t="s">
        <v>1554</v>
      </c>
      <c r="O9" s="564"/>
    </row>
    <row r="10" spans="1:15" s="563" customFormat="1" ht="25.5">
      <c r="A10" s="559"/>
      <c r="B10" s="561"/>
      <c r="F10" s="282"/>
      <c r="G10" s="562" t="s">
        <v>1564</v>
      </c>
      <c r="I10" s="282"/>
      <c r="J10" s="282"/>
      <c r="K10" s="282"/>
      <c r="L10" s="282"/>
      <c r="M10" s="282"/>
      <c r="O10" s="564"/>
    </row>
    <row r="11" spans="1:15">
      <c r="A11" s="559"/>
      <c r="B11" s="565"/>
      <c r="C11" s="557"/>
      <c r="D11" s="557"/>
      <c r="E11" s="557"/>
      <c r="F11" s="557"/>
      <c r="G11" s="557"/>
      <c r="H11" s="557"/>
      <c r="I11" s="557"/>
      <c r="J11" s="557"/>
      <c r="O11" s="560"/>
    </row>
    <row r="12" spans="1:15">
      <c r="A12" s="559" t="s">
        <v>242</v>
      </c>
      <c r="B12" s="566" t="s">
        <v>13</v>
      </c>
      <c r="C12" s="965">
        <v>116080855</v>
      </c>
      <c r="D12" s="965">
        <v>10863927</v>
      </c>
      <c r="E12" s="965">
        <v>0</v>
      </c>
      <c r="F12" s="965">
        <v>65204955</v>
      </c>
      <c r="G12" s="965">
        <v>0</v>
      </c>
      <c r="H12" s="567">
        <f>D12-G12</f>
        <v>10863927</v>
      </c>
      <c r="I12" s="567">
        <f>'8 - Depreciation Rates'!K23</f>
        <v>26801530.618424002</v>
      </c>
      <c r="J12" s="567">
        <f>'8 - Depreciation Rates'!K96</f>
        <v>32943972.655892003</v>
      </c>
      <c r="K12" s="567">
        <f>'8 - Depreciation Rates'!K52</f>
        <v>5120743.4595320001</v>
      </c>
      <c r="L12" s="567">
        <f>'8 - Depreciation Rates'!K62</f>
        <v>4026334.7239470002</v>
      </c>
      <c r="M12" s="567">
        <f>'8 - Depreciation Rates'!K66</f>
        <v>11053896.984160002</v>
      </c>
      <c r="O12" s="568"/>
    </row>
    <row r="13" spans="1:15">
      <c r="A13" s="559"/>
      <c r="B13" s="569"/>
      <c r="C13" s="569"/>
      <c r="D13" s="569"/>
      <c r="E13" s="569"/>
      <c r="F13" s="569"/>
      <c r="G13" s="569"/>
      <c r="H13" s="569"/>
      <c r="I13" s="569"/>
      <c r="J13" s="569"/>
      <c r="N13" s="569"/>
      <c r="O13" s="570"/>
    </row>
    <row r="14" spans="1:15">
      <c r="A14" s="559"/>
      <c r="B14" s="569"/>
      <c r="C14" s="569"/>
      <c r="D14" s="569"/>
      <c r="E14" s="569"/>
      <c r="F14" s="569"/>
      <c r="G14" s="569"/>
      <c r="H14" s="569"/>
      <c r="I14" s="569"/>
      <c r="J14" s="569"/>
      <c r="N14" s="569"/>
      <c r="O14" s="570"/>
    </row>
    <row r="15" spans="1:15" ht="76.5">
      <c r="A15" s="559"/>
      <c r="C15" s="553" t="s">
        <v>661</v>
      </c>
      <c r="D15" s="555" t="s">
        <v>247</v>
      </c>
      <c r="E15" s="553" t="s">
        <v>1452</v>
      </c>
      <c r="F15" s="555" t="s">
        <v>1457</v>
      </c>
      <c r="G15" s="553" t="s">
        <v>1453</v>
      </c>
      <c r="H15" s="553" t="s">
        <v>1577</v>
      </c>
      <c r="I15" s="553" t="s">
        <v>1455</v>
      </c>
      <c r="J15" s="553" t="s">
        <v>1458</v>
      </c>
      <c r="K15" s="553" t="s">
        <v>1179</v>
      </c>
      <c r="L15" s="553" t="s">
        <v>1325</v>
      </c>
      <c r="M15" s="553" t="s">
        <v>1223</v>
      </c>
      <c r="N15" s="569"/>
      <c r="O15" s="62"/>
    </row>
    <row r="16" spans="1:15">
      <c r="A16" s="559"/>
      <c r="C16" s="557" t="s">
        <v>198</v>
      </c>
      <c r="D16" s="327" t="s">
        <v>199</v>
      </c>
      <c r="E16" s="547" t="s">
        <v>1460</v>
      </c>
      <c r="F16" s="558" t="s">
        <v>1461</v>
      </c>
      <c r="G16" s="558" t="s">
        <v>203</v>
      </c>
      <c r="H16" s="558" t="s">
        <v>202</v>
      </c>
      <c r="I16" s="558" t="s">
        <v>204</v>
      </c>
      <c r="J16" s="348" t="s">
        <v>1462</v>
      </c>
      <c r="K16" s="348" t="s">
        <v>206</v>
      </c>
      <c r="L16" s="282" t="s">
        <v>244</v>
      </c>
      <c r="M16" s="282" t="s">
        <v>248</v>
      </c>
      <c r="N16" s="569"/>
      <c r="O16" s="62"/>
    </row>
    <row r="17" spans="1:15">
      <c r="A17" s="559"/>
      <c r="B17" s="336" t="s">
        <v>1383</v>
      </c>
      <c r="C17" s="557">
        <v>17</v>
      </c>
      <c r="D17" s="559">
        <v>19</v>
      </c>
      <c r="E17" s="557">
        <v>23</v>
      </c>
      <c r="F17" s="557">
        <v>24</v>
      </c>
      <c r="G17" s="557">
        <v>26</v>
      </c>
      <c r="H17" s="557">
        <v>27</v>
      </c>
      <c r="I17" s="557">
        <v>28</v>
      </c>
      <c r="J17" s="557">
        <v>29</v>
      </c>
      <c r="K17" s="561">
        <v>38</v>
      </c>
      <c r="L17" s="557">
        <v>39</v>
      </c>
      <c r="M17" s="557">
        <v>40</v>
      </c>
      <c r="N17" s="569"/>
      <c r="O17" s="62"/>
    </row>
    <row r="18" spans="1:15" ht="25.15" customHeight="1">
      <c r="A18" s="559"/>
      <c r="B18" s="561" t="s">
        <v>398</v>
      </c>
      <c r="C18" s="562" t="s">
        <v>1512</v>
      </c>
      <c r="D18" s="282" t="s">
        <v>404</v>
      </c>
      <c r="E18" s="282" t="s">
        <v>1450</v>
      </c>
      <c r="F18" s="21" t="s">
        <v>1476</v>
      </c>
      <c r="G18" s="562" t="s">
        <v>1451</v>
      </c>
      <c r="H18" s="562" t="s">
        <v>1454</v>
      </c>
      <c r="I18" s="562" t="s">
        <v>1456</v>
      </c>
      <c r="J18" s="21" t="s">
        <v>1477</v>
      </c>
      <c r="K18" s="282" t="s">
        <v>1178</v>
      </c>
      <c r="L18" s="562" t="s">
        <v>1228</v>
      </c>
      <c r="M18" s="562" t="s">
        <v>1229</v>
      </c>
      <c r="N18" s="569"/>
      <c r="O18" s="62"/>
    </row>
    <row r="19" spans="1:15" s="563" customFormat="1">
      <c r="A19" s="559"/>
      <c r="B19" s="561"/>
      <c r="N19" s="282"/>
    </row>
    <row r="20" spans="1:15">
      <c r="A20" s="559"/>
      <c r="C20" s="557"/>
      <c r="E20" s="557"/>
      <c r="F20" s="557"/>
      <c r="G20" s="557"/>
      <c r="H20" s="557"/>
      <c r="I20" s="557"/>
      <c r="J20" s="557"/>
      <c r="K20" s="557"/>
      <c r="L20" s="557"/>
      <c r="M20" s="557"/>
      <c r="N20" s="569"/>
    </row>
    <row r="21" spans="1:15">
      <c r="A21" s="559" t="s">
        <v>165</v>
      </c>
      <c r="B21" s="566" t="s">
        <v>13</v>
      </c>
      <c r="C21" s="567">
        <f>'8 - Depreciation Rates'!K38</f>
        <v>18971737.725441996</v>
      </c>
      <c r="D21" s="966">
        <v>0</v>
      </c>
      <c r="E21" s="567">
        <f>'5C - Other Taxes'!E20</f>
        <v>12308308</v>
      </c>
      <c r="F21" s="966">
        <v>0</v>
      </c>
      <c r="G21" s="567">
        <f>'5C - Other Taxes'!E12</f>
        <v>12835970</v>
      </c>
      <c r="H21" s="567">
        <f>'5C - Other Taxes'!E37</f>
        <v>132585408</v>
      </c>
      <c r="I21" s="567">
        <f>'5C - Other Taxes'!E28</f>
        <v>450022</v>
      </c>
      <c r="J21" s="966">
        <v>0</v>
      </c>
      <c r="K21" s="966">
        <v>2976.3507628454327</v>
      </c>
      <c r="L21" s="567">
        <f>'9 - EDIT'!P18+'9 - EDIT'!P20+'9 - EDIT'!P24</f>
        <v>3250819.9806056628</v>
      </c>
      <c r="M21" s="966">
        <v>282655.2075020941</v>
      </c>
      <c r="N21" s="569"/>
    </row>
    <row r="22" spans="1:15">
      <c r="A22" s="559"/>
      <c r="B22" s="571"/>
      <c r="C22" s="572"/>
      <c r="D22" s="572"/>
      <c r="E22" s="572"/>
      <c r="F22" s="572"/>
      <c r="G22" s="572"/>
      <c r="H22" s="572"/>
      <c r="I22" s="572"/>
      <c r="J22" s="572"/>
      <c r="K22" s="572"/>
      <c r="L22" s="572"/>
      <c r="M22" s="572"/>
      <c r="N22" s="569"/>
    </row>
    <row r="23" spans="1:15">
      <c r="B23" s="569"/>
      <c r="C23" s="569"/>
      <c r="D23" s="569"/>
      <c r="E23" s="569"/>
      <c r="F23" s="569"/>
      <c r="G23" s="557" t="s">
        <v>192</v>
      </c>
      <c r="H23" s="569"/>
      <c r="I23" s="569"/>
      <c r="J23" s="569"/>
      <c r="M23" s="328" t="s">
        <v>154</v>
      </c>
      <c r="N23" s="569"/>
      <c r="O23" s="573"/>
    </row>
    <row r="24" spans="1:15">
      <c r="B24" s="569"/>
      <c r="C24" s="569"/>
      <c r="D24" s="569"/>
      <c r="E24" s="569"/>
      <c r="F24" s="569"/>
      <c r="G24" s="557" t="s">
        <v>1381</v>
      </c>
      <c r="H24" s="569"/>
      <c r="I24" s="569"/>
      <c r="J24" s="569"/>
      <c r="N24" s="569"/>
      <c r="O24" s="573"/>
    </row>
    <row r="25" spans="1:15" ht="15.75">
      <c r="A25" s="574"/>
      <c r="B25" s="575"/>
      <c r="C25" s="575"/>
      <c r="D25" s="575"/>
      <c r="E25" s="575"/>
      <c r="F25" s="575"/>
      <c r="G25" s="576" t="str">
        <f>+G3</f>
        <v>PECO Energy Company</v>
      </c>
      <c r="H25" s="575"/>
      <c r="I25" s="575"/>
      <c r="J25" s="575"/>
      <c r="K25" s="541"/>
      <c r="L25" s="541"/>
      <c r="M25" s="541"/>
      <c r="N25" s="569"/>
      <c r="O25" s="573"/>
    </row>
    <row r="26" spans="1:15">
      <c r="B26" s="569"/>
      <c r="C26" s="569"/>
      <c r="D26" s="569"/>
      <c r="E26" s="569"/>
      <c r="F26" s="569"/>
      <c r="G26" s="569"/>
      <c r="H26" s="569"/>
      <c r="I26" s="569"/>
      <c r="J26" s="569"/>
      <c r="N26" s="569"/>
      <c r="O26" s="573"/>
    </row>
    <row r="27" spans="1:15">
      <c r="B27" s="569"/>
      <c r="C27" s="569"/>
      <c r="D27" s="569"/>
      <c r="E27" s="569"/>
      <c r="F27" s="569"/>
      <c r="G27" s="569"/>
      <c r="H27" s="569"/>
      <c r="I27" s="569"/>
      <c r="J27" s="569"/>
      <c r="N27" s="569"/>
      <c r="O27" s="573"/>
    </row>
    <row r="28" spans="1:15" ht="13.5" thickBot="1">
      <c r="A28" s="577"/>
      <c r="B28" s="22"/>
      <c r="C28" s="4"/>
      <c r="D28" s="578"/>
      <c r="E28" s="578"/>
      <c r="F28" s="578"/>
      <c r="G28" s="578"/>
      <c r="H28" s="578"/>
      <c r="I28" s="578"/>
      <c r="J28" s="579" t="s">
        <v>44</v>
      </c>
      <c r="K28" s="580"/>
      <c r="L28" s="4"/>
      <c r="N28" s="581"/>
      <c r="O28" s="581"/>
    </row>
    <row r="29" spans="1:15">
      <c r="A29" s="577">
        <f>+A21+1</f>
        <v>3</v>
      </c>
      <c r="B29" s="22"/>
      <c r="C29" s="4"/>
      <c r="D29" s="578" t="s">
        <v>1224</v>
      </c>
      <c r="E29" s="578"/>
      <c r="F29" s="578"/>
      <c r="G29" s="578"/>
      <c r="H29" s="578"/>
      <c r="I29" s="578"/>
      <c r="J29" s="39">
        <f>'11 - Cost of Capital'!G13</f>
        <v>137274572</v>
      </c>
      <c r="N29" s="569"/>
      <c r="O29" s="569"/>
    </row>
    <row r="30" spans="1:15">
      <c r="A30" s="577"/>
      <c r="B30" s="22"/>
      <c r="C30" s="4"/>
      <c r="D30" s="578"/>
      <c r="E30" s="578"/>
      <c r="F30" s="578"/>
      <c r="G30" s="578"/>
      <c r="H30" s="578"/>
      <c r="I30" s="578"/>
      <c r="J30" s="39"/>
      <c r="N30" s="569"/>
      <c r="O30" s="569"/>
    </row>
    <row r="31" spans="1:15">
      <c r="A31" s="577">
        <f>+A29+1</f>
        <v>4</v>
      </c>
      <c r="B31" s="22"/>
      <c r="C31" s="4"/>
      <c r="D31" s="578" t="s">
        <v>300</v>
      </c>
      <c r="E31" s="578"/>
      <c r="F31" s="578"/>
      <c r="G31" s="578"/>
      <c r="H31" s="578"/>
      <c r="I31" s="578"/>
      <c r="J31" s="877">
        <v>0</v>
      </c>
      <c r="N31" s="569"/>
      <c r="O31" s="569"/>
    </row>
    <row r="32" spans="1:15">
      <c r="A32" s="577"/>
      <c r="B32" s="22"/>
      <c r="C32" s="4"/>
      <c r="D32" s="578"/>
      <c r="E32" s="578"/>
      <c r="F32" s="578"/>
      <c r="G32" s="578"/>
      <c r="H32" s="578"/>
      <c r="I32" s="578"/>
      <c r="J32" s="39"/>
    </row>
    <row r="33" spans="1:12">
      <c r="A33" s="577">
        <f>+A31+1</f>
        <v>5</v>
      </c>
      <c r="B33" s="22"/>
      <c r="C33" s="4"/>
      <c r="D33" s="578" t="s">
        <v>1313</v>
      </c>
      <c r="E33" s="582"/>
      <c r="F33" s="578"/>
      <c r="G33" s="578"/>
      <c r="H33" s="578"/>
      <c r="I33" s="578"/>
      <c r="J33" s="39">
        <f>'11 - Cost of Capital'!P42</f>
        <v>4070854964.0446167</v>
      </c>
    </row>
    <row r="34" spans="1:12">
      <c r="A34" s="577">
        <f>+A33+1</f>
        <v>6</v>
      </c>
      <c r="B34" s="22"/>
      <c r="C34" s="4"/>
      <c r="D34" s="578" t="s">
        <v>1314</v>
      </c>
      <c r="E34" s="578"/>
      <c r="F34" s="578"/>
      <c r="G34" s="578"/>
      <c r="H34" s="578"/>
      <c r="I34" s="578"/>
      <c r="J34" s="39">
        <f>'11 - Cost of Capital'!P43</f>
        <v>0</v>
      </c>
    </row>
    <row r="35" spans="1:12">
      <c r="A35" s="577">
        <f>+A34+1</f>
        <v>7</v>
      </c>
      <c r="B35" s="22"/>
      <c r="C35" s="4"/>
      <c r="D35" s="578" t="s">
        <v>1315</v>
      </c>
      <c r="E35" s="578"/>
      <c r="F35" s="578"/>
      <c r="G35" s="578"/>
      <c r="H35" s="578"/>
      <c r="I35" s="578"/>
      <c r="J35" s="39">
        <f>IF('11 - Cost of Capital'!P38&lt;0, 0, -'11 - Cost of Capital'!P38)</f>
        <v>0</v>
      </c>
    </row>
    <row r="36" spans="1:12" ht="13.5" thickBot="1">
      <c r="A36" s="577">
        <f>+A35+1</f>
        <v>8</v>
      </c>
      <c r="B36" s="22"/>
      <c r="C36" s="4"/>
      <c r="D36" s="578" t="s">
        <v>1316</v>
      </c>
      <c r="E36" s="578"/>
      <c r="F36" s="578"/>
      <c r="G36" s="578"/>
      <c r="H36" s="578"/>
      <c r="I36" s="578"/>
      <c r="J36" s="46">
        <f>-'11 - Cost of Capital'!P41</f>
        <v>-1843551.1546153845</v>
      </c>
    </row>
    <row r="37" spans="1:12">
      <c r="A37" s="577">
        <f>+A36+1</f>
        <v>9</v>
      </c>
      <c r="B37" s="22"/>
      <c r="C37" s="4"/>
      <c r="D37" s="578" t="s">
        <v>301</v>
      </c>
      <c r="E37" s="582" t="s">
        <v>1158</v>
      </c>
      <c r="F37" s="582"/>
      <c r="G37" s="582"/>
      <c r="H37" s="583"/>
      <c r="I37" s="582"/>
      <c r="J37" s="39">
        <f>+J33-J34+J35+J36</f>
        <v>4069011412.8900013</v>
      </c>
    </row>
    <row r="38" spans="1:12">
      <c r="A38" s="577"/>
      <c r="B38" s="22"/>
      <c r="C38" s="4"/>
      <c r="J38" s="39"/>
    </row>
    <row r="39" spans="1:12">
      <c r="A39" s="577"/>
      <c r="B39" s="22"/>
      <c r="C39" s="4"/>
      <c r="F39" s="4"/>
      <c r="G39" s="4"/>
      <c r="H39" s="4"/>
      <c r="I39" s="4"/>
      <c r="J39" s="4"/>
      <c r="K39" s="580"/>
      <c r="L39" s="4"/>
    </row>
    <row r="40" spans="1:12">
      <c r="A40" s="577"/>
      <c r="B40" s="22"/>
      <c r="C40" s="4"/>
      <c r="F40" s="4"/>
      <c r="G40" s="4"/>
      <c r="H40" s="4"/>
      <c r="I40" s="27" t="s">
        <v>52</v>
      </c>
      <c r="J40" s="4"/>
      <c r="K40" s="4"/>
      <c r="L40" s="4"/>
    </row>
    <row r="41" spans="1:12" ht="13.5" thickBot="1">
      <c r="A41" s="577"/>
      <c r="B41" s="22"/>
      <c r="C41" s="4"/>
      <c r="F41" s="35" t="s">
        <v>44</v>
      </c>
      <c r="G41" s="35" t="s">
        <v>53</v>
      </c>
      <c r="H41" s="4"/>
      <c r="I41" s="122"/>
      <c r="J41" s="4"/>
      <c r="K41" s="35" t="s">
        <v>54</v>
      </c>
      <c r="L41" s="4"/>
    </row>
    <row r="42" spans="1:12">
      <c r="A42" s="577">
        <f>+A37+1</f>
        <v>10</v>
      </c>
      <c r="B42" s="22" t="s">
        <v>1319</v>
      </c>
      <c r="C42" s="3" t="s">
        <v>1233</v>
      </c>
      <c r="F42" s="33">
        <f>'11 - Cost of Capital'!P22</f>
        <v>3409418609</v>
      </c>
      <c r="G42" s="42">
        <f>1-G44-G43</f>
        <v>0.45590031584441404</v>
      </c>
      <c r="H42" s="41"/>
      <c r="I42" s="42">
        <f>+J29/F42</f>
        <v>4.0263337461005806E-2</v>
      </c>
      <c r="J42" s="41"/>
      <c r="K42" s="42">
        <f>G42*I42</f>
        <v>1.8356068265422774E-2</v>
      </c>
      <c r="L42" s="104" t="s">
        <v>55</v>
      </c>
    </row>
    <row r="43" spans="1:12">
      <c r="A43" s="577">
        <f>+A42+1</f>
        <v>11</v>
      </c>
      <c r="B43" s="22" t="s">
        <v>1317</v>
      </c>
      <c r="C43" s="3" t="s">
        <v>1232</v>
      </c>
      <c r="F43" s="33">
        <f>J34</f>
        <v>0</v>
      </c>
      <c r="G43" s="41">
        <f>IF(F$45=0,0,F43/F$45)</f>
        <v>0</v>
      </c>
      <c r="H43" s="41"/>
      <c r="I43" s="41">
        <v>0</v>
      </c>
      <c r="J43" s="41"/>
      <c r="K43" s="42">
        <f>G43*I43</f>
        <v>0</v>
      </c>
      <c r="L43" s="4"/>
    </row>
    <row r="44" spans="1:12" ht="13.5" thickBot="1">
      <c r="A44" s="577">
        <f>+A43+1</f>
        <v>12</v>
      </c>
      <c r="B44" s="22" t="s">
        <v>1318</v>
      </c>
      <c r="C44" s="3" t="s">
        <v>1234</v>
      </c>
      <c r="F44" s="36">
        <f>+J37</f>
        <v>4069011412.8900013</v>
      </c>
      <c r="G44" s="42">
        <f>IF(F$45=0,0,IF(F44/F$45&gt;0.5575, 0.5575, F44/F$45))</f>
        <v>0.54409968415558596</v>
      </c>
      <c r="H44" s="136"/>
      <c r="I44" s="42">
        <f>0.5%+9.85%</f>
        <v>0.10349999999999999</v>
      </c>
      <c r="J44" s="41"/>
      <c r="K44" s="584">
        <f>G44*I44</f>
        <v>5.6314317310103147E-2</v>
      </c>
      <c r="L44" s="4"/>
    </row>
    <row r="45" spans="1:12">
      <c r="A45" s="577">
        <f>+A44+1</f>
        <v>13</v>
      </c>
      <c r="B45" s="22" t="s">
        <v>227</v>
      </c>
      <c r="C45" s="3" t="s">
        <v>1159</v>
      </c>
      <c r="F45" s="33">
        <f>SUM(F42:F44)</f>
        <v>7478430021.8900013</v>
      </c>
      <c r="G45" s="41" t="s">
        <v>2</v>
      </c>
      <c r="H45" s="4"/>
      <c r="I45" s="41"/>
      <c r="J45" s="41"/>
      <c r="K45" s="42">
        <f>SUM(K42:K44)</f>
        <v>7.4670385575525924E-2</v>
      </c>
      <c r="L45" s="104" t="s">
        <v>56</v>
      </c>
    </row>
    <row r="46" spans="1:12">
      <c r="A46" s="577"/>
      <c r="G46" s="41"/>
    </row>
    <row r="47" spans="1:12" ht="13.5" thickBot="1">
      <c r="A47" s="585" t="s">
        <v>182</v>
      </c>
    </row>
    <row r="48" spans="1:12">
      <c r="A48" s="559" t="s">
        <v>58</v>
      </c>
      <c r="B48" s="21" t="s">
        <v>1266</v>
      </c>
    </row>
    <row r="49" spans="1:13">
      <c r="A49" s="559" t="s">
        <v>59</v>
      </c>
      <c r="B49" s="21" t="s">
        <v>420</v>
      </c>
    </row>
    <row r="50" spans="1:13">
      <c r="A50" s="559" t="s">
        <v>60</v>
      </c>
      <c r="B50" s="21" t="s">
        <v>768</v>
      </c>
    </row>
    <row r="51" spans="1:13">
      <c r="A51" s="559"/>
      <c r="B51" s="21" t="s">
        <v>1188</v>
      </c>
    </row>
    <row r="52" spans="1:13">
      <c r="A52" s="559"/>
      <c r="B52" s="1020" t="s">
        <v>1389</v>
      </c>
      <c r="C52" s="1020"/>
      <c r="D52" s="1020"/>
      <c r="E52" s="1020"/>
      <c r="F52" s="1020"/>
      <c r="G52" s="1020"/>
      <c r="H52" s="1020"/>
      <c r="I52" s="1020"/>
      <c r="J52" s="1020"/>
      <c r="K52" s="1020"/>
    </row>
    <row r="53" spans="1:13">
      <c r="A53" s="559" t="s">
        <v>61</v>
      </c>
      <c r="B53" s="578" t="s">
        <v>700</v>
      </c>
    </row>
    <row r="54" spans="1:13" ht="41.45" customHeight="1">
      <c r="A54" s="586" t="s">
        <v>62</v>
      </c>
      <c r="B54" s="1027" t="s">
        <v>1157</v>
      </c>
      <c r="C54" s="1027"/>
      <c r="D54" s="1027"/>
      <c r="E54" s="1027"/>
      <c r="F54" s="1027"/>
      <c r="G54" s="1027"/>
      <c r="H54" s="1027"/>
      <c r="I54" s="1027"/>
      <c r="J54" s="1027"/>
      <c r="K54" s="1027"/>
      <c r="L54" s="1027"/>
      <c r="M54" s="1027"/>
    </row>
    <row r="55" spans="1:13">
      <c r="A55" s="559" t="s">
        <v>63</v>
      </c>
      <c r="B55" s="587" t="s">
        <v>1463</v>
      </c>
    </row>
    <row r="56" spans="1:13">
      <c r="A56" s="559" t="s">
        <v>64</v>
      </c>
      <c r="B56" s="21" t="s">
        <v>1225</v>
      </c>
    </row>
  </sheetData>
  <sheetProtection algorithmName="SHA-512" hashValue="NdmlcMxjP6mWhA6mYGUSwEeyhmAQLpeF8LEa1quKeXDDJOFsKRmP/m35DKodlsjdmvjZnym36Y+iBwzj8nZ0mw==" saltValue="N1vVLoDoq25OR4ftmpnvkw==" spinCount="100000" sheet="1" objects="1" scenarios="1"/>
  <customSheetViews>
    <customSheetView guid="{F04A2B9A-C6FE-4FEB-AD1E-2CF9AC309BE4}" fitToPage="1">
      <selection activeCell="G20" sqref="G20"/>
      <pageMargins left="0.7" right="0.7" top="0.75" bottom="0.75" header="0.3" footer="0.3"/>
      <pageSetup scale="76" orientation="landscape" r:id="rId1"/>
    </customSheetView>
  </customSheetViews>
  <mergeCells count="2">
    <mergeCell ref="B52:K52"/>
    <mergeCell ref="B54:M54"/>
  </mergeCells>
  <phoneticPr fontId="0" type="noConversion"/>
  <pageMargins left="0.25" right="0.25" top="0.75" bottom="0.75" header="0.3" footer="0.3"/>
  <pageSetup scale="57" fitToHeight="0" orientation="landscape" r:id="rId2"/>
  <rowBreaks count="1" manualBreakCount="1">
    <brk id="22"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93"/>
  <sheetViews>
    <sheetView view="pageBreakPreview" zoomScale="70" zoomScaleNormal="90" zoomScaleSheetLayoutView="70" workbookViewId="0">
      <selection activeCell="D79" sqref="D79"/>
    </sheetView>
  </sheetViews>
  <sheetFormatPr defaultColWidth="7.109375" defaultRowHeight="15"/>
  <cols>
    <col min="1" max="1" width="5.77734375" style="590" customWidth="1"/>
    <col min="2" max="2" width="65.88671875" style="588" customWidth="1"/>
    <col min="3" max="3" width="14.109375" style="588" customWidth="1"/>
    <col min="4" max="4" width="13" style="537" customWidth="1"/>
    <col min="5" max="5" width="14.77734375" style="588" bestFit="1" customWidth="1"/>
    <col min="6" max="6" width="14" style="588" customWidth="1"/>
    <col min="7" max="7" width="10.6640625" style="588" bestFit="1" customWidth="1"/>
    <col min="8" max="8" width="12" style="588" customWidth="1"/>
    <col min="9" max="16384" width="7.109375" style="588"/>
  </cols>
  <sheetData>
    <row r="1" spans="1:8">
      <c r="A1" s="1059" t="s">
        <v>681</v>
      </c>
      <c r="B1" s="1059"/>
      <c r="C1" s="1059"/>
      <c r="D1" s="1059"/>
      <c r="H1" s="588" t="s">
        <v>422</v>
      </c>
    </row>
    <row r="2" spans="1:8">
      <c r="A2" s="1064" t="s">
        <v>650</v>
      </c>
      <c r="B2" s="1065"/>
      <c r="C2" s="1065"/>
      <c r="D2" s="1065"/>
      <c r="E2" s="589"/>
    </row>
    <row r="3" spans="1:8">
      <c r="A3" s="1064"/>
      <c r="B3" s="1065"/>
      <c r="C3" s="1065"/>
      <c r="D3" s="1065"/>
      <c r="E3" s="589"/>
    </row>
    <row r="4" spans="1:8">
      <c r="B4" s="591"/>
      <c r="C4" s="533"/>
    </row>
    <row r="5" spans="1:8">
      <c r="B5" s="531" t="s">
        <v>618</v>
      </c>
      <c r="C5" s="592"/>
      <c r="G5" s="593"/>
    </row>
    <row r="6" spans="1:8">
      <c r="A6" s="590">
        <v>1</v>
      </c>
      <c r="B6" s="594" t="s">
        <v>841</v>
      </c>
      <c r="C6" s="530"/>
      <c r="D6" s="595">
        <f>E60</f>
        <v>8608296.7600000016</v>
      </c>
      <c r="G6" s="537"/>
    </row>
    <row r="7" spans="1:8">
      <c r="A7" s="590">
        <f>A6+1</f>
        <v>2</v>
      </c>
      <c r="B7" s="594" t="s">
        <v>842</v>
      </c>
      <c r="C7" s="530"/>
      <c r="D7" s="595">
        <f>E59+F67+E63</f>
        <v>761781.19449210376</v>
      </c>
      <c r="G7" s="537"/>
    </row>
    <row r="8" spans="1:8">
      <c r="A8" s="590">
        <f>A7+1</f>
        <v>3</v>
      </c>
      <c r="B8" s="530" t="s">
        <v>624</v>
      </c>
      <c r="C8" s="592" t="s">
        <v>1160</v>
      </c>
      <c r="D8" s="596">
        <f>SUM(D6:D7)</f>
        <v>9370077.9544921052</v>
      </c>
      <c r="G8" s="537"/>
    </row>
    <row r="9" spans="1:8">
      <c r="B9" s="530"/>
      <c r="C9" s="530"/>
      <c r="D9" s="596"/>
      <c r="G9" s="597"/>
    </row>
    <row r="10" spans="1:8">
      <c r="B10" s="531" t="s">
        <v>771</v>
      </c>
      <c r="C10" s="530"/>
      <c r="F10" s="598"/>
      <c r="G10" s="599"/>
    </row>
    <row r="11" spans="1:8">
      <c r="B11" s="600"/>
      <c r="C11" s="601"/>
      <c r="D11" s="602"/>
      <c r="G11" s="599"/>
    </row>
    <row r="12" spans="1:8">
      <c r="A12" s="590">
        <f>+A8+1</f>
        <v>4</v>
      </c>
      <c r="B12" s="594" t="s">
        <v>619</v>
      </c>
      <c r="C12" s="603"/>
      <c r="D12" s="604">
        <f>E84</f>
        <v>5000280.2799999993</v>
      </c>
      <c r="G12" s="599"/>
    </row>
    <row r="13" spans="1:8" ht="30">
      <c r="A13" s="590">
        <f t="shared" ref="A13:A20" si="0">+A12+1</f>
        <v>5</v>
      </c>
      <c r="B13" s="603" t="s">
        <v>979</v>
      </c>
      <c r="C13" s="603"/>
      <c r="D13" s="604">
        <f>E86</f>
        <v>1078489.58</v>
      </c>
      <c r="G13" s="599"/>
    </row>
    <row r="14" spans="1:8">
      <c r="A14" s="590">
        <f t="shared" si="0"/>
        <v>6</v>
      </c>
      <c r="B14" s="603" t="s">
        <v>713</v>
      </c>
      <c r="C14" s="603"/>
      <c r="D14" s="967">
        <v>0</v>
      </c>
      <c r="G14" s="597"/>
    </row>
    <row r="15" spans="1:8">
      <c r="A15" s="590">
        <f t="shared" si="0"/>
        <v>7</v>
      </c>
      <c r="B15" s="530" t="s">
        <v>843</v>
      </c>
      <c r="C15" s="603"/>
      <c r="D15" s="605">
        <f>H80</f>
        <v>356114.17005511239</v>
      </c>
      <c r="G15" s="599"/>
    </row>
    <row r="16" spans="1:8">
      <c r="A16" s="590">
        <f t="shared" si="0"/>
        <v>8</v>
      </c>
      <c r="B16" s="530" t="s">
        <v>620</v>
      </c>
      <c r="C16" s="606"/>
      <c r="D16" s="967">
        <v>0</v>
      </c>
      <c r="G16" s="537"/>
    </row>
    <row r="17" spans="1:5">
      <c r="A17" s="590">
        <f t="shared" si="0"/>
        <v>9</v>
      </c>
      <c r="B17" s="530" t="s">
        <v>621</v>
      </c>
      <c r="C17" s="603"/>
      <c r="D17" s="967">
        <v>0</v>
      </c>
    </row>
    <row r="18" spans="1:5">
      <c r="A18" s="590">
        <f t="shared" si="0"/>
        <v>10</v>
      </c>
      <c r="B18" s="530" t="s">
        <v>625</v>
      </c>
      <c r="C18" s="530"/>
      <c r="D18" s="967">
        <v>0</v>
      </c>
    </row>
    <row r="19" spans="1:5">
      <c r="A19" s="590">
        <f t="shared" si="0"/>
        <v>11</v>
      </c>
      <c r="B19" s="530" t="s">
        <v>622</v>
      </c>
      <c r="C19" s="592"/>
      <c r="D19" s="967">
        <v>0</v>
      </c>
    </row>
    <row r="20" spans="1:5">
      <c r="A20" s="590">
        <f t="shared" si="0"/>
        <v>12</v>
      </c>
      <c r="B20" s="530" t="s">
        <v>626</v>
      </c>
      <c r="C20" s="592"/>
      <c r="D20" s="967">
        <v>0</v>
      </c>
    </row>
    <row r="21" spans="1:5">
      <c r="B21" s="530"/>
      <c r="C21" s="592"/>
      <c r="D21" s="607"/>
    </row>
    <row r="22" spans="1:5">
      <c r="A22" s="590">
        <f>+A20+1</f>
        <v>13</v>
      </c>
      <c r="B22" s="530" t="s">
        <v>623</v>
      </c>
      <c r="C22" s="592" t="s">
        <v>1174</v>
      </c>
      <c r="D22" s="537">
        <f>SUM(D12:D20)+D8</f>
        <v>15804961.984547216</v>
      </c>
    </row>
    <row r="23" spans="1:5">
      <c r="A23" s="590">
        <f t="shared" ref="A23:A24" si="1">+A22+1</f>
        <v>14</v>
      </c>
      <c r="B23" s="530" t="s">
        <v>627</v>
      </c>
      <c r="C23" s="592"/>
      <c r="D23" s="537">
        <f>+D38</f>
        <v>-5699777.3685974162</v>
      </c>
    </row>
    <row r="24" spans="1:5">
      <c r="A24" s="590">
        <f t="shared" si="1"/>
        <v>15</v>
      </c>
      <c r="B24" s="530" t="s">
        <v>628</v>
      </c>
      <c r="C24" s="592"/>
      <c r="D24" s="537">
        <f>+D22+D23</f>
        <v>10105184.6159498</v>
      </c>
    </row>
    <row r="25" spans="1:5">
      <c r="B25" s="530"/>
      <c r="C25" s="592"/>
    </row>
    <row r="26" spans="1:5" ht="50.25" customHeight="1">
      <c r="B26" s="608" t="s">
        <v>629</v>
      </c>
      <c r="C26" s="592"/>
      <c r="D26" s="607"/>
      <c r="E26" s="609"/>
    </row>
    <row r="27" spans="1:5" ht="87.75" customHeight="1">
      <c r="A27" s="610" t="s">
        <v>792</v>
      </c>
      <c r="B27" s="611" t="s">
        <v>1175</v>
      </c>
      <c r="C27" s="592"/>
      <c r="D27" s="967">
        <v>0</v>
      </c>
    </row>
    <row r="28" spans="1:5" ht="21" customHeight="1">
      <c r="A28" s="610"/>
      <c r="B28" s="530"/>
      <c r="C28" s="592"/>
      <c r="E28" s="609"/>
    </row>
    <row r="29" spans="1:5" ht="60">
      <c r="A29" s="610" t="s">
        <v>793</v>
      </c>
      <c r="B29" s="611" t="s">
        <v>630</v>
      </c>
      <c r="C29" s="592"/>
    </row>
    <row r="30" spans="1:5" ht="14.25" customHeight="1">
      <c r="A30" s="610"/>
      <c r="B30" s="530"/>
      <c r="C30" s="592"/>
      <c r="E30" s="609"/>
    </row>
    <row r="31" spans="1:5" ht="207.75" customHeight="1">
      <c r="A31" s="610" t="s">
        <v>794</v>
      </c>
      <c r="B31" s="612" t="s">
        <v>819</v>
      </c>
      <c r="C31" s="612"/>
    </row>
    <row r="32" spans="1:5">
      <c r="A32" s="610" t="s">
        <v>631</v>
      </c>
      <c r="B32" s="612" t="s">
        <v>632</v>
      </c>
      <c r="C32" s="612"/>
      <c r="D32" s="602">
        <f>+D6+D18+D20</f>
        <v>8608296.7600000016</v>
      </c>
    </row>
    <row r="33" spans="1:8">
      <c r="A33" s="610" t="s">
        <v>633</v>
      </c>
      <c r="B33" s="612" t="s">
        <v>634</v>
      </c>
      <c r="C33" s="613"/>
      <c r="D33" s="602">
        <f>F54+(D32-F54)*'Attachment H-7'!D152</f>
        <v>2958183.1930179074</v>
      </c>
      <c r="E33" s="589"/>
    </row>
    <row r="34" spans="1:8">
      <c r="A34" s="610" t="s">
        <v>635</v>
      </c>
      <c r="B34" s="612" t="s">
        <v>636</v>
      </c>
      <c r="C34" s="612"/>
      <c r="D34" s="602">
        <f>+D32-D33</f>
        <v>5650113.5669820942</v>
      </c>
      <c r="E34" s="607"/>
    </row>
    <row r="35" spans="1:8">
      <c r="A35" s="610" t="s">
        <v>637</v>
      </c>
      <c r="B35" s="612" t="s">
        <v>638</v>
      </c>
      <c r="C35" s="612"/>
      <c r="D35" s="602">
        <f>+D34/2</f>
        <v>2825056.7834910471</v>
      </c>
    </row>
    <row r="36" spans="1:8" ht="45">
      <c r="A36" s="610" t="s">
        <v>639</v>
      </c>
      <c r="B36" s="612" t="s">
        <v>640</v>
      </c>
      <c r="C36" s="612"/>
      <c r="D36" s="602">
        <f>H54</f>
        <v>83462.607911538245</v>
      </c>
    </row>
    <row r="37" spans="1:8">
      <c r="A37" s="610" t="s">
        <v>641</v>
      </c>
      <c r="B37" s="530" t="s">
        <v>642</v>
      </c>
      <c r="C37" s="592"/>
      <c r="D37" s="537">
        <f>+D35+D36</f>
        <v>2908519.3914025854</v>
      </c>
    </row>
    <row r="38" spans="1:8">
      <c r="A38" s="610" t="s">
        <v>643</v>
      </c>
      <c r="B38" s="530" t="s">
        <v>644</v>
      </c>
      <c r="C38" s="592"/>
      <c r="D38" s="537">
        <f>+D37-D32</f>
        <v>-5699777.3685974162</v>
      </c>
    </row>
    <row r="39" spans="1:8" ht="78.599999999999994" customHeight="1">
      <c r="A39" s="610">
        <v>18</v>
      </c>
      <c r="B39" s="611" t="s">
        <v>1161</v>
      </c>
      <c r="C39" s="592"/>
      <c r="D39" s="967">
        <v>0</v>
      </c>
    </row>
    <row r="40" spans="1:8">
      <c r="B40" s="592"/>
      <c r="C40" s="592"/>
    </row>
    <row r="41" spans="1:8">
      <c r="A41" s="590">
        <v>19</v>
      </c>
      <c r="B41" s="592" t="s">
        <v>369</v>
      </c>
      <c r="C41" s="592"/>
      <c r="D41" s="967">
        <v>0</v>
      </c>
    </row>
    <row r="42" spans="1:8">
      <c r="B42" s="592"/>
      <c r="C42" s="592"/>
      <c r="D42" s="607"/>
    </row>
    <row r="43" spans="1:8">
      <c r="A43" s="590">
        <v>20</v>
      </c>
      <c r="B43" s="592" t="s">
        <v>645</v>
      </c>
      <c r="C43" s="592"/>
      <c r="D43" s="614">
        <f>+D22+D27+D39+D41</f>
        <v>15804961.984547216</v>
      </c>
    </row>
    <row r="44" spans="1:8">
      <c r="A44" s="590">
        <v>21</v>
      </c>
      <c r="B44" s="592" t="s">
        <v>369</v>
      </c>
      <c r="C44" s="592"/>
      <c r="D44" s="614"/>
    </row>
    <row r="46" spans="1:8">
      <c r="A46" s="615"/>
      <c r="D46" s="616"/>
      <c r="H46" s="588" t="s">
        <v>154</v>
      </c>
    </row>
    <row r="47" spans="1:8">
      <c r="A47" s="1064" t="s">
        <v>650</v>
      </c>
      <c r="B47" s="1065"/>
      <c r="C47" s="1065"/>
      <c r="D47" s="1065"/>
      <c r="E47" s="589"/>
    </row>
    <row r="49" spans="1:8">
      <c r="B49" s="612" t="s">
        <v>634</v>
      </c>
    </row>
    <row r="50" spans="1:8" ht="60" customHeight="1">
      <c r="B50" s="588" t="s">
        <v>646</v>
      </c>
      <c r="C50" s="617" t="s">
        <v>820</v>
      </c>
      <c r="D50" s="537" t="s">
        <v>846</v>
      </c>
      <c r="E50" s="617" t="s">
        <v>978</v>
      </c>
      <c r="F50" s="617" t="s">
        <v>845</v>
      </c>
      <c r="G50" s="617" t="s">
        <v>847</v>
      </c>
      <c r="H50" s="617" t="s">
        <v>848</v>
      </c>
    </row>
    <row r="51" spans="1:8">
      <c r="A51" s="590" t="s">
        <v>647</v>
      </c>
      <c r="B51" s="968" t="s">
        <v>688</v>
      </c>
      <c r="C51" s="968">
        <v>920000</v>
      </c>
      <c r="D51" s="969">
        <v>635680.65</v>
      </c>
      <c r="E51" s="636">
        <v>0.75</v>
      </c>
      <c r="F51" s="618">
        <f>D51*E51</f>
        <v>476760.48750000005</v>
      </c>
      <c r="G51" s="619">
        <f>'Attachment H-7'!I197</f>
        <v>9.4490855863003556E-2</v>
      </c>
      <c r="H51" s="618">
        <f>D51*G51</f>
        <v>60066.008674050412</v>
      </c>
    </row>
    <row r="52" spans="1:8">
      <c r="A52" s="590" t="s">
        <v>648</v>
      </c>
      <c r="B52" s="970" t="s">
        <v>693</v>
      </c>
      <c r="C52" s="968">
        <v>926000</v>
      </c>
      <c r="D52" s="969">
        <v>247607.02000000002</v>
      </c>
      <c r="E52" s="636">
        <v>0.75</v>
      </c>
      <c r="F52" s="618">
        <f>D52*E52</f>
        <v>185705.26500000001</v>
      </c>
      <c r="G52" s="619">
        <f>G51</f>
        <v>9.4490855863003556E-2</v>
      </c>
      <c r="H52" s="618">
        <f>D52*G52</f>
        <v>23396.599237487841</v>
      </c>
    </row>
    <row r="53" spans="1:8">
      <c r="A53" s="590" t="s">
        <v>296</v>
      </c>
    </row>
    <row r="54" spans="1:8">
      <c r="A54" s="590">
        <v>23</v>
      </c>
      <c r="B54" s="588" t="s">
        <v>649</v>
      </c>
      <c r="D54" s="620">
        <f>SUM(D51:D53)</f>
        <v>883287.67</v>
      </c>
      <c r="E54" s="621"/>
      <c r="F54" s="620">
        <f>SUM(F51:F53)</f>
        <v>662465.75250000006</v>
      </c>
      <c r="G54" s="621"/>
      <c r="H54" s="620">
        <f>SUM(H51:H53)</f>
        <v>83462.607911538245</v>
      </c>
    </row>
    <row r="57" spans="1:8" ht="28.15" customHeight="1">
      <c r="B57" s="622" t="s">
        <v>849</v>
      </c>
      <c r="C57" s="623" t="s">
        <v>844</v>
      </c>
      <c r="D57" s="623" t="s">
        <v>853</v>
      </c>
      <c r="E57" s="623" t="s">
        <v>854</v>
      </c>
      <c r="F57" s="623" t="s">
        <v>855</v>
      </c>
      <c r="G57" s="623" t="s">
        <v>856</v>
      </c>
      <c r="H57" s="624" t="s">
        <v>13</v>
      </c>
    </row>
    <row r="58" spans="1:8">
      <c r="A58" s="590" t="s">
        <v>866</v>
      </c>
      <c r="B58" s="622" t="s">
        <v>857</v>
      </c>
      <c r="C58" s="971">
        <v>13620424.470000001</v>
      </c>
      <c r="D58" s="625">
        <f>C58</f>
        <v>13620424.470000001</v>
      </c>
      <c r="E58" s="626"/>
      <c r="F58" s="626"/>
      <c r="G58" s="626"/>
      <c r="H58" s="627"/>
    </row>
    <row r="59" spans="1:8">
      <c r="A59" s="590" t="s">
        <v>867</v>
      </c>
      <c r="B59" s="622" t="s">
        <v>858</v>
      </c>
      <c r="C59" s="972">
        <v>264492</v>
      </c>
      <c r="D59" s="628"/>
      <c r="E59" s="629">
        <f>C59</f>
        <v>264492</v>
      </c>
      <c r="F59" s="622"/>
      <c r="G59" s="622"/>
      <c r="H59" s="630"/>
    </row>
    <row r="60" spans="1:8">
      <c r="A60" s="590" t="s">
        <v>868</v>
      </c>
      <c r="B60" s="622" t="s">
        <v>1252</v>
      </c>
      <c r="C60" s="972">
        <v>8608296.7600000016</v>
      </c>
      <c r="D60" s="628"/>
      <c r="E60" s="629">
        <f>C60</f>
        <v>8608296.7600000016</v>
      </c>
      <c r="F60" s="622"/>
      <c r="G60" s="622"/>
      <c r="H60" s="630"/>
    </row>
    <row r="61" spans="1:8">
      <c r="A61" s="590" t="s">
        <v>869</v>
      </c>
      <c r="B61" s="622" t="s">
        <v>1253</v>
      </c>
      <c r="C61" s="972">
        <v>3175581.0599999996</v>
      </c>
      <c r="D61" s="628">
        <f>C61</f>
        <v>3175581.0599999996</v>
      </c>
      <c r="E61" s="622"/>
      <c r="F61" s="629"/>
      <c r="G61" s="622"/>
      <c r="H61" s="630"/>
    </row>
    <row r="62" spans="1:8">
      <c r="A62" s="590" t="s">
        <v>1251</v>
      </c>
      <c r="B62" s="622" t="s">
        <v>859</v>
      </c>
      <c r="C62" s="972">
        <v>2458806.1</v>
      </c>
      <c r="D62" s="628"/>
      <c r="E62" s="622"/>
      <c r="F62" s="629">
        <f>C62</f>
        <v>2458806.1</v>
      </c>
      <c r="G62" s="622"/>
      <c r="H62" s="630"/>
    </row>
    <row r="63" spans="1:8">
      <c r="A63" s="590" t="s">
        <v>1653</v>
      </c>
      <c r="B63" s="1003" t="s">
        <v>1654</v>
      </c>
      <c r="C63" s="972">
        <v>42186</v>
      </c>
      <c r="D63" s="628"/>
      <c r="E63" s="629">
        <f>C63</f>
        <v>42186</v>
      </c>
      <c r="F63" s="629"/>
      <c r="G63" s="622"/>
      <c r="H63" s="630"/>
    </row>
    <row r="64" spans="1:8">
      <c r="A64" s="590" t="s">
        <v>296</v>
      </c>
      <c r="B64" s="622"/>
      <c r="C64" s="972"/>
      <c r="D64" s="628"/>
      <c r="E64" s="622"/>
      <c r="F64" s="629"/>
      <c r="G64" s="622"/>
      <c r="H64" s="630"/>
    </row>
    <row r="65" spans="1:8">
      <c r="B65" s="631" t="s">
        <v>870</v>
      </c>
      <c r="C65" s="626">
        <f>SUM(C58:C64)</f>
        <v>28169786.390000004</v>
      </c>
      <c r="D65" s="626">
        <f t="shared" ref="D65:G65" si="2">SUM(D58:D64)</f>
        <v>16796005.530000001</v>
      </c>
      <c r="E65" s="626">
        <f t="shared" si="2"/>
        <v>8914974.7600000016</v>
      </c>
      <c r="F65" s="626">
        <f t="shared" si="2"/>
        <v>2458806.1</v>
      </c>
      <c r="G65" s="626">
        <f t="shared" si="2"/>
        <v>0</v>
      </c>
      <c r="H65" s="627"/>
    </row>
    <row r="66" spans="1:8">
      <c r="B66" s="632" t="s">
        <v>860</v>
      </c>
      <c r="C66" s="622"/>
      <c r="D66" s="633">
        <v>0</v>
      </c>
      <c r="E66" s="633">
        <v>1</v>
      </c>
      <c r="F66" s="634">
        <f>'Attachment H-7'!G53</f>
        <v>0.18509112796332486</v>
      </c>
      <c r="G66" s="634">
        <f>'Attachment H-7'!I197</f>
        <v>9.4490855863003556E-2</v>
      </c>
      <c r="H66" s="622"/>
    </row>
    <row r="67" spans="1:8">
      <c r="B67" s="632" t="s">
        <v>861</v>
      </c>
      <c r="C67" s="622"/>
      <c r="D67" s="625">
        <f>D65*D66</f>
        <v>0</v>
      </c>
      <c r="E67" s="625">
        <f t="shared" ref="E67:G67" si="3">E65*E66</f>
        <v>8914974.7600000016</v>
      </c>
      <c r="F67" s="625">
        <f t="shared" si="3"/>
        <v>455103.19449210376</v>
      </c>
      <c r="G67" s="625">
        <f t="shared" si="3"/>
        <v>0</v>
      </c>
      <c r="H67" s="627">
        <f t="shared" ref="H67" si="4">SUM(D67:G67)</f>
        <v>9370077.9544921052</v>
      </c>
    </row>
    <row r="68" spans="1:8">
      <c r="E68" s="635"/>
    </row>
    <row r="69" spans="1:8">
      <c r="B69" s="622" t="s">
        <v>862</v>
      </c>
      <c r="C69" s="623" t="s">
        <v>844</v>
      </c>
      <c r="D69" s="623" t="s">
        <v>853</v>
      </c>
      <c r="E69" s="623" t="s">
        <v>854</v>
      </c>
      <c r="F69" s="623" t="s">
        <v>855</v>
      </c>
      <c r="G69" s="623" t="s">
        <v>856</v>
      </c>
      <c r="H69" s="624" t="s">
        <v>13</v>
      </c>
    </row>
    <row r="70" spans="1:8">
      <c r="A70" s="590" t="s">
        <v>583</v>
      </c>
      <c r="B70" s="622" t="s">
        <v>863</v>
      </c>
      <c r="C70" s="971">
        <v>-3859745.0366666662</v>
      </c>
      <c r="D70" s="625">
        <f>C70</f>
        <v>-3859745.0366666662</v>
      </c>
      <c r="E70" s="626"/>
      <c r="F70" s="626"/>
      <c r="G70" s="626"/>
      <c r="H70" s="627"/>
    </row>
    <row r="71" spans="1:8">
      <c r="A71" s="590" t="s">
        <v>584</v>
      </c>
      <c r="B71" s="622" t="s">
        <v>1254</v>
      </c>
      <c r="C71" s="972">
        <v>1550258.1400000001</v>
      </c>
      <c r="D71" s="625">
        <f>C71</f>
        <v>1550258.1400000001</v>
      </c>
      <c r="E71" s="629"/>
      <c r="F71" s="622"/>
      <c r="G71" s="622"/>
      <c r="H71" s="630"/>
    </row>
    <row r="72" spans="1:8">
      <c r="A72" s="590" t="s">
        <v>585</v>
      </c>
      <c r="B72" s="622" t="s">
        <v>864</v>
      </c>
      <c r="C72" s="972">
        <v>8613546.870000001</v>
      </c>
      <c r="D72" s="625">
        <f>C72</f>
        <v>8613546.870000001</v>
      </c>
      <c r="E72" s="622"/>
      <c r="F72" s="622"/>
      <c r="G72" s="629"/>
      <c r="H72" s="630"/>
    </row>
    <row r="73" spans="1:8">
      <c r="A73" s="590" t="s">
        <v>586</v>
      </c>
      <c r="B73" s="622" t="s">
        <v>1583</v>
      </c>
      <c r="C73" s="972">
        <v>256012.9</v>
      </c>
      <c r="D73" s="630"/>
      <c r="E73" s="630">
        <f>C73</f>
        <v>256012.9</v>
      </c>
      <c r="F73" s="630"/>
      <c r="G73" s="630"/>
      <c r="H73" s="630"/>
    </row>
    <row r="74" spans="1:8">
      <c r="A74" s="590" t="s">
        <v>587</v>
      </c>
      <c r="B74" s="622" t="s">
        <v>1584</v>
      </c>
      <c r="C74" s="972">
        <v>556.74</v>
      </c>
      <c r="D74" s="630"/>
      <c r="E74" s="630"/>
      <c r="F74" s="630"/>
      <c r="G74" s="630">
        <f>C74</f>
        <v>556.74</v>
      </c>
      <c r="H74" s="630"/>
    </row>
    <row r="75" spans="1:8">
      <c r="A75" s="590" t="s">
        <v>588</v>
      </c>
      <c r="B75" s="622" t="s">
        <v>1585</v>
      </c>
      <c r="C75" s="972">
        <v>1080486.1399999999</v>
      </c>
      <c r="D75" s="630">
        <f>C75</f>
        <v>1080486.1399999999</v>
      </c>
      <c r="E75" s="630"/>
      <c r="F75" s="630"/>
      <c r="G75" s="630"/>
      <c r="H75" s="630"/>
    </row>
    <row r="76" spans="1:8">
      <c r="A76" s="590" t="s">
        <v>589</v>
      </c>
      <c r="B76" s="622" t="s">
        <v>853</v>
      </c>
      <c r="C76" s="972">
        <v>994848.41</v>
      </c>
      <c r="D76" s="1004">
        <v>424350.02999999997</v>
      </c>
      <c r="E76" s="1004">
        <v>-58.8</v>
      </c>
      <c r="F76" s="1004">
        <v>509877.26999999996</v>
      </c>
      <c r="G76" s="1004">
        <v>60679.989999999991</v>
      </c>
      <c r="H76" s="630"/>
    </row>
    <row r="77" spans="1:8">
      <c r="A77" s="590" t="s">
        <v>296</v>
      </c>
      <c r="B77" s="622"/>
      <c r="C77" s="972"/>
      <c r="D77" s="628"/>
      <c r="E77" s="622"/>
      <c r="F77" s="629"/>
      <c r="G77" s="629"/>
      <c r="H77" s="630"/>
    </row>
    <row r="78" spans="1:8">
      <c r="B78" s="631" t="s">
        <v>871</v>
      </c>
      <c r="C78" s="626">
        <f>SUM(C70:C77)</f>
        <v>8635964.163333334</v>
      </c>
      <c r="D78" s="626">
        <f t="shared" ref="D78:G78" si="5">SUM(D70:D77)</f>
        <v>7808896.1433333345</v>
      </c>
      <c r="E78" s="626">
        <f t="shared" si="5"/>
        <v>255954.1</v>
      </c>
      <c r="F78" s="626">
        <f t="shared" si="5"/>
        <v>509877.26999999996</v>
      </c>
      <c r="G78" s="626">
        <f t="shared" si="5"/>
        <v>61236.729999999989</v>
      </c>
      <c r="H78" s="627"/>
    </row>
    <row r="79" spans="1:8">
      <c r="B79" s="632" t="s">
        <v>860</v>
      </c>
      <c r="C79" s="622"/>
      <c r="D79" s="633">
        <v>0</v>
      </c>
      <c r="E79" s="633">
        <v>1</v>
      </c>
      <c r="F79" s="634">
        <f>'Attachment H-7'!G53</f>
        <v>0.18509112796332486</v>
      </c>
      <c r="G79" s="634">
        <f>'Attachment H-7'!I197</f>
        <v>9.4490855863003556E-2</v>
      </c>
      <c r="H79" s="622"/>
    </row>
    <row r="80" spans="1:8">
      <c r="B80" s="632" t="s">
        <v>861</v>
      </c>
      <c r="C80" s="622"/>
      <c r="D80" s="625">
        <f>D78*D79</f>
        <v>0</v>
      </c>
      <c r="E80" s="625">
        <f t="shared" ref="E80" si="6">E78*E79</f>
        <v>255954.1</v>
      </c>
      <c r="F80" s="625">
        <f t="shared" ref="F80" si="7">F78*F79</f>
        <v>94373.759027160733</v>
      </c>
      <c r="G80" s="625">
        <f t="shared" ref="G80" si="8">G78*G79</f>
        <v>5786.311027951665</v>
      </c>
      <c r="H80" s="627">
        <f>SUM(D80:G80)</f>
        <v>356114.17005511239</v>
      </c>
    </row>
    <row r="82" spans="1:8">
      <c r="B82" s="622" t="s">
        <v>865</v>
      </c>
      <c r="C82" s="623" t="s">
        <v>844</v>
      </c>
      <c r="D82" s="623" t="s">
        <v>853</v>
      </c>
      <c r="E82" s="623" t="s">
        <v>854</v>
      </c>
      <c r="F82" s="623" t="s">
        <v>855</v>
      </c>
      <c r="G82" s="623" t="s">
        <v>856</v>
      </c>
      <c r="H82" s="624" t="s">
        <v>13</v>
      </c>
    </row>
    <row r="83" spans="1:8">
      <c r="A83" s="590" t="s">
        <v>873</v>
      </c>
      <c r="B83" s="622" t="s">
        <v>850</v>
      </c>
      <c r="C83" s="971">
        <v>142255073.38000003</v>
      </c>
      <c r="D83" s="625">
        <f>C83</f>
        <v>142255073.38000003</v>
      </c>
      <c r="E83" s="626"/>
      <c r="F83" s="626"/>
      <c r="G83" s="626"/>
      <c r="H83" s="627"/>
    </row>
    <row r="84" spans="1:8">
      <c r="A84" s="590" t="s">
        <v>874</v>
      </c>
      <c r="B84" s="622" t="s">
        <v>851</v>
      </c>
      <c r="C84" s="972">
        <v>5000280.2799999993</v>
      </c>
      <c r="D84" s="625"/>
      <c r="E84" s="625">
        <f>C84</f>
        <v>5000280.2799999993</v>
      </c>
      <c r="F84" s="622"/>
      <c r="G84" s="622"/>
      <c r="H84" s="630"/>
    </row>
    <row r="85" spans="1:8">
      <c r="A85" s="590" t="s">
        <v>875</v>
      </c>
      <c r="B85" s="622" t="s">
        <v>1255</v>
      </c>
      <c r="C85" s="972">
        <v>33519816.267291073</v>
      </c>
      <c r="D85" s="625">
        <f>C85</f>
        <v>33519816.267291073</v>
      </c>
      <c r="E85" s="625"/>
      <c r="F85" s="622"/>
      <c r="G85" s="622"/>
      <c r="H85" s="630"/>
    </row>
    <row r="86" spans="1:8">
      <c r="A86" s="590" t="s">
        <v>876</v>
      </c>
      <c r="B86" s="622" t="s">
        <v>852</v>
      </c>
      <c r="C86" s="972">
        <v>1078489.58</v>
      </c>
      <c r="D86" s="628"/>
      <c r="E86" s="629">
        <f>C86</f>
        <v>1078489.58</v>
      </c>
      <c r="F86" s="622"/>
      <c r="G86" s="622"/>
      <c r="H86" s="630"/>
    </row>
    <row r="87" spans="1:8">
      <c r="A87" s="590" t="s">
        <v>1256</v>
      </c>
      <c r="B87" s="622" t="s">
        <v>853</v>
      </c>
      <c r="C87" s="972">
        <v>2597170.129999998</v>
      </c>
      <c r="D87" s="628">
        <f>C87</f>
        <v>2597170.129999998</v>
      </c>
      <c r="E87" s="622"/>
      <c r="F87" s="629"/>
      <c r="G87" s="629"/>
      <c r="H87" s="630"/>
    </row>
    <row r="88" spans="1:8">
      <c r="A88" s="590" t="s">
        <v>296</v>
      </c>
      <c r="B88" s="622"/>
      <c r="C88" s="972"/>
      <c r="D88" s="628"/>
      <c r="E88" s="622"/>
      <c r="F88" s="629"/>
      <c r="G88" s="629"/>
      <c r="H88" s="630"/>
    </row>
    <row r="89" spans="1:8">
      <c r="B89" s="631" t="s">
        <v>872</v>
      </c>
      <c r="C89" s="626">
        <f>SUM(C83:C88)</f>
        <v>184450829.6372911</v>
      </c>
      <c r="D89" s="626">
        <f t="shared" ref="D89:G89" si="9">SUM(D83:D88)</f>
        <v>178372059.77729109</v>
      </c>
      <c r="E89" s="626">
        <f t="shared" si="9"/>
        <v>6078769.8599999994</v>
      </c>
      <c r="F89" s="626">
        <f t="shared" si="9"/>
        <v>0</v>
      </c>
      <c r="G89" s="626">
        <f t="shared" si="9"/>
        <v>0</v>
      </c>
      <c r="H89" s="627"/>
    </row>
    <row r="90" spans="1:8">
      <c r="B90" s="632" t="s">
        <v>860</v>
      </c>
      <c r="C90" s="622"/>
      <c r="D90" s="633">
        <v>0</v>
      </c>
      <c r="E90" s="633">
        <v>1</v>
      </c>
      <c r="F90" s="634">
        <f>'Attachment H-7'!G53</f>
        <v>0.18509112796332486</v>
      </c>
      <c r="G90" s="634">
        <f>'Attachment H-7'!I197</f>
        <v>9.4490855863003556E-2</v>
      </c>
      <c r="H90" s="622"/>
    </row>
    <row r="91" spans="1:8">
      <c r="B91" s="632" t="s">
        <v>861</v>
      </c>
      <c r="C91" s="622"/>
      <c r="D91" s="625">
        <f>D89*D90</f>
        <v>0</v>
      </c>
      <c r="E91" s="625">
        <f t="shared" ref="E91" si="10">E89*E90</f>
        <v>6078769.8599999994</v>
      </c>
      <c r="F91" s="625">
        <f t="shared" ref="F91" si="11">F89*F90</f>
        <v>0</v>
      </c>
      <c r="G91" s="625">
        <f t="shared" ref="G91" si="12">G89*G90</f>
        <v>0</v>
      </c>
      <c r="H91" s="627">
        <f>SUM(D91:G91)</f>
        <v>6078769.8599999994</v>
      </c>
    </row>
    <row r="93" spans="1:8">
      <c r="B93" s="588" t="s">
        <v>1132</v>
      </c>
    </row>
  </sheetData>
  <sheetProtection algorithmName="SHA-512" hashValue="N1Y77vUFHLPO1xE9YpZ20RKHVYAWk7f7h96EEvFHamVwn4XkDl90xk2s8WsZSxFjkXYh4mWAdKyQ6PSmKTlqkQ==" saltValue="Xv1kziK1uvELx5aFU8Zf7A==" spinCount="100000" sheet="1" objects="1" scenarios="1"/>
  <mergeCells count="4">
    <mergeCell ref="A1:D1"/>
    <mergeCell ref="A3:D3"/>
    <mergeCell ref="A47:D47"/>
    <mergeCell ref="A2:D2"/>
  </mergeCells>
  <printOptions horizontalCentered="1"/>
  <pageMargins left="0.5" right="0.5" top="1" bottom="1" header="0.5" footer="0.5"/>
  <pageSetup scale="42" fitToHeight="2" orientation="landscape" r:id="rId1"/>
  <headerFooter alignWithMargins="0"/>
  <rowBreaks count="1" manualBreakCount="1">
    <brk id="44" max="7" man="1"/>
  </rowBreaks>
  <ignoredErrors>
    <ignoredError sqref="C65:G69 A15:E15 A52 A51 D58:G58 D59:G59 D60:G60 D61:G61 D62:G62 C78:G82 D70:G70 D71:G71 D72:G72 D73:G73 D74:G74 D75:G75 D87:G87 D83:G83 D84:G84 D85:G85 D86:G86 A40:E40 A39:C39 E39 A42:E50 A41:C41 E41 A14:C14 E14 A21:E26 A16:C16 E16 A17:C17 E17 A18:C18 E18 A19:C19 E19 A20:C20 E20 A28:E38 A27:C27 E27 D77:G77 D64:G64"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1"/>
  <sheetViews>
    <sheetView view="pageBreakPreview" zoomScale="90" zoomScaleNormal="100" zoomScaleSheetLayoutView="90" workbookViewId="0">
      <selection activeCell="H19" sqref="H19"/>
    </sheetView>
  </sheetViews>
  <sheetFormatPr defaultColWidth="8.88671875" defaultRowHeight="15"/>
  <cols>
    <col min="1" max="1" width="4.109375" style="530" customWidth="1"/>
    <col min="2" max="2" width="36.21875" style="530" customWidth="1"/>
    <col min="3" max="3" width="1.6640625" style="530" customWidth="1"/>
    <col min="4" max="4" width="5.33203125" style="530" bestFit="1" customWidth="1"/>
    <col min="5" max="5" width="17" style="530" bestFit="1" customWidth="1"/>
    <col min="6" max="6" width="2.21875" style="530" customWidth="1"/>
    <col min="7" max="7" width="14.77734375" style="530" bestFit="1" customWidth="1"/>
    <col min="8" max="8" width="17.5546875" style="530" bestFit="1" customWidth="1"/>
    <col min="9" max="9" width="14" style="530" bestFit="1" customWidth="1"/>
    <col min="10" max="10" width="14.77734375" style="530" bestFit="1" customWidth="1"/>
    <col min="11" max="11" width="4.33203125" style="530" customWidth="1"/>
    <col min="12" max="16384" width="8.88671875" style="530"/>
  </cols>
  <sheetData>
    <row r="1" spans="1:10">
      <c r="B1" s="1059" t="str">
        <f>+'Attachment H-7'!D177</f>
        <v>PECO Energy Company</v>
      </c>
      <c r="C1" s="1059"/>
      <c r="D1" s="1059"/>
      <c r="E1" s="1059"/>
      <c r="F1" s="1059"/>
      <c r="G1" s="1059"/>
    </row>
    <row r="2" spans="1:10">
      <c r="B2" s="1064" t="s">
        <v>651</v>
      </c>
      <c r="C2" s="1064"/>
      <c r="D2" s="1064"/>
      <c r="E2" s="1064"/>
      <c r="F2" s="1064"/>
      <c r="G2" s="1064"/>
    </row>
    <row r="4" spans="1:10">
      <c r="B4" s="531"/>
      <c r="C4" s="531"/>
      <c r="D4" s="531"/>
      <c r="E4" s="531"/>
      <c r="F4" s="531"/>
      <c r="G4" s="531"/>
    </row>
    <row r="5" spans="1:10">
      <c r="B5" s="531"/>
    </row>
    <row r="6" spans="1:10">
      <c r="E6" s="637" t="s">
        <v>198</v>
      </c>
      <c r="G6" s="637" t="s">
        <v>199</v>
      </c>
      <c r="H6" s="637" t="s">
        <v>200</v>
      </c>
      <c r="I6" s="638" t="s">
        <v>201</v>
      </c>
      <c r="J6" s="637" t="s">
        <v>203</v>
      </c>
    </row>
    <row r="7" spans="1:10">
      <c r="E7" s="639" t="s">
        <v>801</v>
      </c>
    </row>
    <row r="8" spans="1:10">
      <c r="B8" s="592"/>
      <c r="C8" s="592"/>
      <c r="D8" s="592"/>
      <c r="E8" s="640"/>
      <c r="F8" s="641"/>
      <c r="G8" s="641"/>
      <c r="H8" s="641"/>
      <c r="I8" s="641"/>
      <c r="J8" s="641"/>
    </row>
    <row r="9" spans="1:10">
      <c r="B9" s="642"/>
      <c r="C9" s="643"/>
      <c r="D9" s="644"/>
      <c r="E9" s="645" t="s">
        <v>13</v>
      </c>
      <c r="F9" s="645"/>
      <c r="G9" s="645" t="s">
        <v>685</v>
      </c>
      <c r="H9" s="645" t="s">
        <v>686</v>
      </c>
      <c r="I9" s="645" t="s">
        <v>687</v>
      </c>
      <c r="J9" s="645" t="s">
        <v>1162</v>
      </c>
    </row>
    <row r="10" spans="1:10">
      <c r="A10" s="536">
        <v>1</v>
      </c>
      <c r="B10" s="646" t="s">
        <v>688</v>
      </c>
      <c r="C10" s="592"/>
      <c r="D10" s="647">
        <v>920</v>
      </c>
      <c r="E10" s="973">
        <v>27667179</v>
      </c>
      <c r="F10" s="974"/>
      <c r="G10" s="973">
        <v>27667179</v>
      </c>
      <c r="H10" s="648"/>
      <c r="I10" s="973">
        <v>0</v>
      </c>
      <c r="J10" s="973">
        <v>0</v>
      </c>
    </row>
    <row r="11" spans="1:10">
      <c r="A11" s="536">
        <f>A10+1</f>
        <v>2</v>
      </c>
      <c r="B11" s="646" t="s">
        <v>689</v>
      </c>
      <c r="C11" s="592"/>
      <c r="D11" s="647">
        <v>921</v>
      </c>
      <c r="E11" s="922">
        <v>9038489</v>
      </c>
      <c r="F11" s="975"/>
      <c r="G11" s="922">
        <v>9000154.5</v>
      </c>
      <c r="H11" s="649"/>
      <c r="I11" s="922">
        <v>38334.5</v>
      </c>
      <c r="J11" s="922">
        <v>0</v>
      </c>
    </row>
    <row r="12" spans="1:10">
      <c r="A12" s="536">
        <f t="shared" ref="A12:A24" si="0">A11+1</f>
        <v>3</v>
      </c>
      <c r="B12" s="646" t="s">
        <v>690</v>
      </c>
      <c r="C12" s="592"/>
      <c r="D12" s="647">
        <v>922</v>
      </c>
      <c r="E12" s="922">
        <v>0</v>
      </c>
      <c r="F12" s="975"/>
      <c r="G12" s="922">
        <v>0</v>
      </c>
      <c r="H12" s="649"/>
      <c r="I12" s="922">
        <v>0</v>
      </c>
      <c r="J12" s="922">
        <v>0</v>
      </c>
    </row>
    <row r="13" spans="1:10">
      <c r="A13" s="536">
        <f t="shared" si="0"/>
        <v>4</v>
      </c>
      <c r="B13" s="646" t="s">
        <v>1200</v>
      </c>
      <c r="C13" s="592"/>
      <c r="D13" s="647">
        <v>923</v>
      </c>
      <c r="E13" s="922">
        <v>74403755</v>
      </c>
      <c r="F13" s="975"/>
      <c r="G13" s="922">
        <v>73736716.479999989</v>
      </c>
      <c r="H13" s="649"/>
      <c r="I13" s="922">
        <v>667038.52000000584</v>
      </c>
      <c r="J13" s="922">
        <v>0</v>
      </c>
    </row>
    <row r="14" spans="1:10">
      <c r="A14" s="536">
        <f t="shared" si="0"/>
        <v>5</v>
      </c>
      <c r="B14" s="646" t="s">
        <v>691</v>
      </c>
      <c r="C14" s="592"/>
      <c r="D14" s="647">
        <v>924</v>
      </c>
      <c r="E14" s="922">
        <v>24174</v>
      </c>
      <c r="F14" s="975"/>
      <c r="G14" s="649"/>
      <c r="H14" s="922">
        <v>24174</v>
      </c>
      <c r="I14" s="922">
        <v>0</v>
      </c>
      <c r="J14" s="922">
        <v>0</v>
      </c>
    </row>
    <row r="15" spans="1:10">
      <c r="A15" s="536">
        <f t="shared" si="0"/>
        <v>6</v>
      </c>
      <c r="B15" s="646" t="s">
        <v>692</v>
      </c>
      <c r="C15" s="592"/>
      <c r="D15" s="647">
        <v>925</v>
      </c>
      <c r="E15" s="922">
        <v>13844910</v>
      </c>
      <c r="F15" s="975"/>
      <c r="G15" s="922">
        <v>13844910</v>
      </c>
      <c r="H15" s="649"/>
      <c r="I15" s="922">
        <v>0</v>
      </c>
      <c r="J15" s="922">
        <v>0</v>
      </c>
    </row>
    <row r="16" spans="1:10">
      <c r="A16" s="536">
        <f t="shared" si="0"/>
        <v>7</v>
      </c>
      <c r="B16" s="646" t="s">
        <v>693</v>
      </c>
      <c r="C16" s="592"/>
      <c r="D16" s="650">
        <v>926</v>
      </c>
      <c r="E16" s="922">
        <v>28504054</v>
      </c>
      <c r="F16" s="975"/>
      <c r="G16" s="922">
        <v>28504054</v>
      </c>
      <c r="H16" s="649"/>
      <c r="I16" s="922">
        <v>0</v>
      </c>
      <c r="J16" s="922">
        <v>0</v>
      </c>
    </row>
    <row r="17" spans="1:11">
      <c r="A17" s="536">
        <f t="shared" si="0"/>
        <v>8</v>
      </c>
      <c r="B17" s="646" t="s">
        <v>694</v>
      </c>
      <c r="C17" s="592"/>
      <c r="D17" s="647">
        <v>927</v>
      </c>
      <c r="E17" s="922">
        <v>0</v>
      </c>
      <c r="F17" s="975"/>
      <c r="G17" s="922">
        <v>0</v>
      </c>
      <c r="H17" s="649"/>
      <c r="I17" s="922">
        <v>0</v>
      </c>
      <c r="J17" s="922">
        <v>0</v>
      </c>
    </row>
    <row r="18" spans="1:11">
      <c r="A18" s="536">
        <f t="shared" si="0"/>
        <v>9</v>
      </c>
      <c r="B18" s="646" t="s">
        <v>766</v>
      </c>
      <c r="C18" s="592"/>
      <c r="D18" s="647">
        <v>928</v>
      </c>
      <c r="E18" s="922">
        <v>8049891</v>
      </c>
      <c r="F18" s="975"/>
      <c r="G18" s="922">
        <v>0</v>
      </c>
      <c r="H18" s="649"/>
      <c r="I18" s="922">
        <v>7714062.1899999995</v>
      </c>
      <c r="J18" s="922">
        <v>335828.81000000006</v>
      </c>
    </row>
    <row r="19" spans="1:11">
      <c r="A19" s="536">
        <f t="shared" si="0"/>
        <v>10</v>
      </c>
      <c r="B19" s="646" t="s">
        <v>695</v>
      </c>
      <c r="C19" s="592"/>
      <c r="D19" s="647">
        <v>929</v>
      </c>
      <c r="E19" s="922">
        <v>-2859505</v>
      </c>
      <c r="F19" s="975"/>
      <c r="G19" s="922">
        <v>-2859505</v>
      </c>
      <c r="H19" s="649"/>
      <c r="I19" s="922">
        <v>0</v>
      </c>
      <c r="J19" s="922">
        <v>0</v>
      </c>
    </row>
    <row r="20" spans="1:11">
      <c r="A20" s="536">
        <f t="shared" si="0"/>
        <v>11</v>
      </c>
      <c r="B20" s="646" t="s">
        <v>1163</v>
      </c>
      <c r="C20" s="592"/>
      <c r="D20" s="647">
        <v>930.1</v>
      </c>
      <c r="E20" s="922">
        <v>2643003</v>
      </c>
      <c r="F20" s="975"/>
      <c r="G20" s="922">
        <v>0</v>
      </c>
      <c r="H20" s="649"/>
      <c r="I20" s="922">
        <v>2643003</v>
      </c>
      <c r="J20" s="922">
        <v>0</v>
      </c>
    </row>
    <row r="21" spans="1:11">
      <c r="A21" s="536">
        <f t="shared" si="0"/>
        <v>12</v>
      </c>
      <c r="B21" s="646" t="s">
        <v>1165</v>
      </c>
      <c r="C21" s="592"/>
      <c r="D21" s="647">
        <v>930.2</v>
      </c>
      <c r="E21" s="922">
        <v>3076972</v>
      </c>
      <c r="F21" s="975"/>
      <c r="G21" s="922">
        <v>2445200</v>
      </c>
      <c r="H21" s="649"/>
      <c r="I21" s="922">
        <v>631772</v>
      </c>
      <c r="J21" s="922">
        <v>0</v>
      </c>
    </row>
    <row r="22" spans="1:11">
      <c r="A22" s="536">
        <f t="shared" si="0"/>
        <v>13</v>
      </c>
      <c r="B22" s="646" t="s">
        <v>696</v>
      </c>
      <c r="C22" s="592"/>
      <c r="D22" s="647">
        <v>931</v>
      </c>
      <c r="E22" s="922">
        <v>0</v>
      </c>
      <c r="F22" s="975"/>
      <c r="G22" s="922">
        <v>0</v>
      </c>
      <c r="H22" s="649"/>
      <c r="I22" s="922">
        <v>0</v>
      </c>
      <c r="J22" s="922">
        <v>0</v>
      </c>
    </row>
    <row r="23" spans="1:11">
      <c r="A23" s="536">
        <f t="shared" si="0"/>
        <v>14</v>
      </c>
      <c r="B23" s="651" t="s">
        <v>697</v>
      </c>
      <c r="C23" s="592"/>
      <c r="D23" s="644">
        <v>935</v>
      </c>
      <c r="E23" s="922">
        <v>5960581</v>
      </c>
      <c r="F23" s="975"/>
      <c r="G23" s="922">
        <v>5960581</v>
      </c>
      <c r="H23" s="648"/>
      <c r="I23" s="922">
        <v>0</v>
      </c>
      <c r="J23" s="922">
        <v>0</v>
      </c>
      <c r="K23" s="537"/>
    </row>
    <row r="24" spans="1:11">
      <c r="A24" s="536">
        <f t="shared" si="0"/>
        <v>15</v>
      </c>
      <c r="B24" s="652" t="s">
        <v>1164</v>
      </c>
      <c r="C24" s="592"/>
      <c r="D24" s="533"/>
      <c r="E24" s="653">
        <f>SUM(E10:E23)</f>
        <v>170353503</v>
      </c>
      <c r="F24" s="654"/>
      <c r="G24" s="653">
        <f>SUM(G10:G23)</f>
        <v>158299289.97999999</v>
      </c>
      <c r="H24" s="653">
        <f t="shared" ref="H24:J24" si="1">SUM(H10:H23)</f>
        <v>24174</v>
      </c>
      <c r="I24" s="653">
        <f t="shared" si="1"/>
        <v>11694210.210000005</v>
      </c>
      <c r="J24" s="653">
        <f t="shared" si="1"/>
        <v>335828.81000000006</v>
      </c>
    </row>
    <row r="25" spans="1:11">
      <c r="A25" s="536"/>
      <c r="B25" s="592"/>
      <c r="C25" s="592"/>
      <c r="D25" s="592"/>
      <c r="E25" s="592"/>
      <c r="F25" s="592"/>
      <c r="G25" s="592"/>
      <c r="H25" s="592"/>
      <c r="I25" s="592"/>
      <c r="J25" s="592"/>
    </row>
    <row r="26" spans="1:11">
      <c r="A26" s="536">
        <f>A24+1</f>
        <v>16</v>
      </c>
      <c r="B26" s="592"/>
      <c r="C26" s="592"/>
      <c r="D26" s="592"/>
      <c r="E26" s="655" t="s">
        <v>698</v>
      </c>
      <c r="F26" s="592"/>
      <c r="G26" s="656">
        <f>'Attachment H-7'!I197</f>
        <v>9.4490855863003556E-2</v>
      </c>
      <c r="H26" s="656">
        <f>'Attachment H-7'!G53</f>
        <v>0.18509112796332486</v>
      </c>
      <c r="I26" s="656">
        <v>0</v>
      </c>
      <c r="J26" s="656">
        <v>1</v>
      </c>
    </row>
    <row r="27" spans="1:11" ht="16.5">
      <c r="A27" s="536">
        <f t="shared" ref="A27:A28" si="2">A26+1</f>
        <v>17</v>
      </c>
      <c r="B27" s="592"/>
      <c r="C27" s="592"/>
      <c r="D27" s="592"/>
      <c r="E27" s="655" t="s">
        <v>1166</v>
      </c>
      <c r="F27" s="592"/>
      <c r="G27" s="657">
        <f>G24*G26</f>
        <v>14957835.392715981</v>
      </c>
      <c r="H27" s="657">
        <f t="shared" ref="H27" si="3">H24*H26</f>
        <v>4474.3929273854155</v>
      </c>
      <c r="I27" s="657">
        <f t="shared" ref="I27:J27" si="4">I24*I26</f>
        <v>0</v>
      </c>
      <c r="J27" s="657">
        <f t="shared" si="4"/>
        <v>335828.81000000006</v>
      </c>
    </row>
    <row r="28" spans="1:11" ht="16.5">
      <c r="A28" s="536">
        <f t="shared" si="2"/>
        <v>18</v>
      </c>
      <c r="I28" s="655" t="s">
        <v>1167</v>
      </c>
      <c r="J28" s="658">
        <f>SUM(G27:J27)</f>
        <v>15298138.595643368</v>
      </c>
      <c r="K28" s="659"/>
    </row>
    <row r="29" spans="1:11" ht="15.75" thickBot="1">
      <c r="A29" s="660" t="s">
        <v>182</v>
      </c>
    </row>
    <row r="30" spans="1:11" ht="16.5">
      <c r="A30" s="530" t="s">
        <v>1168</v>
      </c>
    </row>
    <row r="31" spans="1:11" ht="16.5">
      <c r="A31" s="530" t="s">
        <v>1169</v>
      </c>
    </row>
  </sheetData>
  <sheetProtection algorithmName="SHA-512" hashValue="sjvJFb+C1xzuRXd92DMSVVA9wiXavu/EDK1vI1eiH0FYEesDIPRiFs+QLAFGfaDnlCqpEyLhbFvJJtNqP6mzbw==" saltValue="SfDbKrLl3RYZhLkUCh4hgA==" spinCount="100000" sheet="1" objects="1" scenarios="1"/>
  <mergeCells count="2">
    <mergeCell ref="B1:G1"/>
    <mergeCell ref="B2:G2"/>
  </mergeCells>
  <pageMargins left="0.7" right="0.7" top="0.75" bottom="0.7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859D-FE24-4BDC-A1F5-47E39341C905}">
  <sheetPr>
    <pageSetUpPr fitToPage="1"/>
  </sheetPr>
  <dimension ref="A1:H64"/>
  <sheetViews>
    <sheetView zoomScale="70" zoomScaleNormal="70" workbookViewId="0">
      <selection activeCell="G48" sqref="G48"/>
    </sheetView>
  </sheetViews>
  <sheetFormatPr defaultColWidth="8.88671875" defaultRowHeight="15"/>
  <cols>
    <col min="1" max="1" width="4.6640625" style="661" customWidth="1"/>
    <col min="2" max="2" width="3.6640625" style="661" customWidth="1"/>
    <col min="3" max="3" width="74.6640625" style="661" customWidth="1"/>
    <col min="4" max="4" width="11.21875" style="661" customWidth="1"/>
    <col min="5" max="5" width="11.77734375" style="667" customWidth="1"/>
    <col min="6" max="6" width="11.88671875" style="661" customWidth="1"/>
    <col min="7" max="7" width="12" style="661" customWidth="1"/>
    <col min="8" max="16384" width="8.88671875" style="661"/>
  </cols>
  <sheetData>
    <row r="1" spans="1:8">
      <c r="A1" s="1066" t="str">
        <f>'Attachment H-7'!D5</f>
        <v>PECO Energy Company</v>
      </c>
      <c r="B1" s="1066"/>
      <c r="C1" s="1066"/>
      <c r="D1" s="1066"/>
      <c r="E1" s="1066"/>
      <c r="F1" s="1066"/>
      <c r="G1" s="1066"/>
      <c r="H1" s="1066"/>
    </row>
    <row r="2" spans="1:8">
      <c r="A2" s="1067" t="s">
        <v>1413</v>
      </c>
      <c r="B2" s="1067"/>
      <c r="C2" s="1067"/>
      <c r="D2" s="1067"/>
      <c r="E2" s="1067"/>
      <c r="F2" s="1067"/>
      <c r="G2" s="1067"/>
      <c r="H2" s="1067"/>
    </row>
    <row r="4" spans="1:8">
      <c r="D4" s="592"/>
      <c r="E4" s="662" t="s">
        <v>1414</v>
      </c>
    </row>
    <row r="5" spans="1:8">
      <c r="A5" s="663" t="s">
        <v>1438</v>
      </c>
      <c r="B5" s="663"/>
      <c r="D5" s="592"/>
      <c r="E5" s="662" t="s">
        <v>1415</v>
      </c>
    </row>
    <row r="6" spans="1:8">
      <c r="A6" s="663"/>
      <c r="B6" s="663"/>
      <c r="D6" s="592"/>
      <c r="E6" s="662"/>
    </row>
    <row r="7" spans="1:8">
      <c r="A7" s="664"/>
      <c r="B7" s="663" t="s">
        <v>1445</v>
      </c>
      <c r="D7" s="592"/>
      <c r="E7" s="665"/>
    </row>
    <row r="8" spans="1:8">
      <c r="A8" s="666" t="s">
        <v>508</v>
      </c>
      <c r="C8" s="976" t="s">
        <v>1635</v>
      </c>
      <c r="D8" s="592"/>
      <c r="E8" s="977">
        <v>7579064</v>
      </c>
    </row>
    <row r="9" spans="1:8">
      <c r="A9" s="666" t="s">
        <v>509</v>
      </c>
      <c r="B9" s="667"/>
      <c r="C9" s="976" t="s">
        <v>1416</v>
      </c>
      <c r="D9" s="592"/>
      <c r="E9" s="977">
        <v>5256906</v>
      </c>
    </row>
    <row r="10" spans="1:8">
      <c r="A10" s="666" t="s">
        <v>510</v>
      </c>
      <c r="C10" s="976"/>
      <c r="D10" s="592"/>
      <c r="E10" s="977"/>
    </row>
    <row r="11" spans="1:8">
      <c r="A11" s="666" t="s">
        <v>296</v>
      </c>
      <c r="C11" s="976"/>
      <c r="D11" s="592"/>
      <c r="E11" s="978"/>
    </row>
    <row r="12" spans="1:8">
      <c r="A12" s="666">
        <v>1</v>
      </c>
      <c r="B12" s="663" t="s">
        <v>1432</v>
      </c>
      <c r="D12" s="592"/>
      <c r="E12" s="668">
        <f>SUM(E8:E11)</f>
        <v>12835970</v>
      </c>
    </row>
    <row r="13" spans="1:8">
      <c r="A13" s="664"/>
      <c r="D13" s="592"/>
      <c r="E13" s="669"/>
    </row>
    <row r="14" spans="1:8">
      <c r="A14" s="664"/>
      <c r="D14" s="592"/>
      <c r="E14" s="669"/>
    </row>
    <row r="15" spans="1:8">
      <c r="A15" s="664"/>
      <c r="B15" s="663" t="s">
        <v>1447</v>
      </c>
      <c r="D15" s="592"/>
      <c r="E15" s="670"/>
    </row>
    <row r="16" spans="1:8">
      <c r="A16" s="666" t="s">
        <v>1263</v>
      </c>
      <c r="C16" s="956" t="s">
        <v>1417</v>
      </c>
      <c r="D16" s="592"/>
      <c r="E16" s="977">
        <v>49816</v>
      </c>
    </row>
    <row r="17" spans="1:5">
      <c r="A17" s="666" t="s">
        <v>1434</v>
      </c>
      <c r="C17" s="956" t="s">
        <v>1418</v>
      </c>
      <c r="D17" s="592"/>
      <c r="E17" s="977">
        <v>11940482</v>
      </c>
    </row>
    <row r="18" spans="1:5">
      <c r="A18" s="666" t="s">
        <v>1435</v>
      </c>
      <c r="C18" s="956" t="s">
        <v>1419</v>
      </c>
      <c r="D18" s="592"/>
      <c r="E18" s="977">
        <v>318010</v>
      </c>
    </row>
    <row r="19" spans="1:5">
      <c r="A19" s="666" t="s">
        <v>296</v>
      </c>
      <c r="C19" s="976"/>
      <c r="D19" s="592"/>
      <c r="E19" s="978"/>
    </row>
    <row r="20" spans="1:5">
      <c r="A20" s="666">
        <v>2</v>
      </c>
      <c r="B20" s="663" t="s">
        <v>1433</v>
      </c>
      <c r="D20" s="592"/>
      <c r="E20" s="671">
        <f>SUM(E16:E19)</f>
        <v>12308308</v>
      </c>
    </row>
    <row r="21" spans="1:5">
      <c r="A21" s="664"/>
      <c r="B21" s="663"/>
      <c r="C21" s="669"/>
      <c r="D21" s="592"/>
    </row>
    <row r="22" spans="1:5">
      <c r="A22" s="664"/>
      <c r="B22" s="663"/>
      <c r="C22" s="669"/>
      <c r="D22" s="592"/>
    </row>
    <row r="23" spans="1:5">
      <c r="A23" s="664"/>
      <c r="B23" s="663" t="s">
        <v>1446</v>
      </c>
      <c r="D23" s="592"/>
      <c r="E23" s="665"/>
    </row>
    <row r="24" spans="1:5">
      <c r="A24" s="666" t="s">
        <v>387</v>
      </c>
      <c r="C24" s="956" t="s">
        <v>1420</v>
      </c>
      <c r="D24" s="592"/>
      <c r="E24" s="977">
        <v>446333</v>
      </c>
    </row>
    <row r="25" spans="1:5">
      <c r="A25" s="666" t="s">
        <v>388</v>
      </c>
      <c r="C25" s="956" t="s">
        <v>1421</v>
      </c>
      <c r="D25" s="592"/>
      <c r="E25" s="977">
        <v>3689</v>
      </c>
    </row>
    <row r="26" spans="1:5">
      <c r="A26" s="666" t="s">
        <v>389</v>
      </c>
      <c r="C26" s="956"/>
      <c r="D26" s="592"/>
      <c r="E26" s="977"/>
    </row>
    <row r="27" spans="1:5">
      <c r="A27" s="666" t="s">
        <v>296</v>
      </c>
      <c r="C27" s="976"/>
      <c r="D27" s="592"/>
      <c r="E27" s="978"/>
    </row>
    <row r="28" spans="1:5">
      <c r="A28" s="666">
        <v>3</v>
      </c>
      <c r="B28" s="663" t="s">
        <v>1436</v>
      </c>
      <c r="D28" s="592"/>
      <c r="E28" s="671">
        <f>SUM(E24:E27)</f>
        <v>450022</v>
      </c>
    </row>
    <row r="29" spans="1:5">
      <c r="A29" s="666"/>
      <c r="D29" s="592"/>
    </row>
    <row r="30" spans="1:5">
      <c r="A30" s="666">
        <v>4</v>
      </c>
      <c r="B30" s="663" t="s">
        <v>1437</v>
      </c>
      <c r="D30" s="592"/>
      <c r="E30" s="672">
        <f>E12+E20+E28</f>
        <v>25594300</v>
      </c>
    </row>
    <row r="31" spans="1:5">
      <c r="A31" s="666"/>
      <c r="C31" s="673"/>
      <c r="D31" s="592"/>
    </row>
    <row r="32" spans="1:5">
      <c r="A32" s="666"/>
      <c r="B32" s="663" t="s">
        <v>1479</v>
      </c>
      <c r="D32" s="592"/>
    </row>
    <row r="33" spans="1:7">
      <c r="A33" s="666" t="s">
        <v>1439</v>
      </c>
      <c r="C33" s="956" t="s">
        <v>1590</v>
      </c>
      <c r="D33" s="592"/>
      <c r="E33" s="977">
        <v>1089911</v>
      </c>
    </row>
    <row r="34" spans="1:7">
      <c r="A34" s="666" t="s">
        <v>1440</v>
      </c>
      <c r="C34" s="956" t="s">
        <v>1634</v>
      </c>
      <c r="D34" s="592"/>
      <c r="E34" s="977">
        <v>131374951</v>
      </c>
    </row>
    <row r="35" spans="1:7">
      <c r="A35" s="666" t="s">
        <v>1441</v>
      </c>
      <c r="C35" s="956" t="s">
        <v>1422</v>
      </c>
      <c r="D35" s="592"/>
      <c r="E35" s="977">
        <v>120546</v>
      </c>
    </row>
    <row r="36" spans="1:7">
      <c r="A36" s="666" t="s">
        <v>296</v>
      </c>
      <c r="C36" s="976"/>
      <c r="D36" s="592"/>
      <c r="E36" s="977"/>
    </row>
    <row r="37" spans="1:7">
      <c r="A37" s="666">
        <v>5</v>
      </c>
      <c r="B37" s="663" t="s">
        <v>1471</v>
      </c>
      <c r="C37" s="652"/>
      <c r="D37" s="592"/>
      <c r="E37" s="671">
        <f>SUM(E33:E36)</f>
        <v>132585408</v>
      </c>
    </row>
    <row r="38" spans="1:7">
      <c r="A38" s="666"/>
      <c r="C38" s="592"/>
      <c r="D38" s="592"/>
      <c r="E38" s="671"/>
    </row>
    <row r="39" spans="1:7">
      <c r="A39" s="666">
        <v>6</v>
      </c>
      <c r="B39" s="652" t="s">
        <v>1442</v>
      </c>
      <c r="C39" s="674"/>
      <c r="D39" s="592"/>
      <c r="E39" s="671">
        <f>E37+E30</f>
        <v>158179708</v>
      </c>
    </row>
    <row r="40" spans="1:7">
      <c r="A40" s="666">
        <f>A39+1</f>
        <v>7</v>
      </c>
      <c r="B40" s="652" t="s">
        <v>1444</v>
      </c>
      <c r="C40" s="674"/>
      <c r="D40" s="675"/>
      <c r="E40" s="979">
        <v>158179708</v>
      </c>
      <c r="F40" s="676"/>
      <c r="G40" s="676"/>
    </row>
    <row r="41" spans="1:7">
      <c r="A41" s="666">
        <f>A40+1</f>
        <v>8</v>
      </c>
      <c r="B41" s="592"/>
      <c r="C41" s="677" t="s">
        <v>1443</v>
      </c>
      <c r="D41" s="677"/>
      <c r="E41" s="538">
        <f>+E39-E40</f>
        <v>0</v>
      </c>
      <c r="F41" s="678"/>
      <c r="G41" s="676"/>
    </row>
    <row r="42" spans="1:7">
      <c r="A42" s="666"/>
      <c r="B42" s="592"/>
      <c r="C42" s="677"/>
      <c r="D42" s="677"/>
      <c r="E42" s="538"/>
      <c r="F42" s="678"/>
      <c r="G42" s="676"/>
    </row>
    <row r="43" spans="1:7">
      <c r="A43" s="666"/>
      <c r="B43" s="652" t="s">
        <v>1478</v>
      </c>
      <c r="C43" s="677"/>
      <c r="D43" s="677"/>
      <c r="E43" s="538"/>
      <c r="F43" s="678"/>
      <c r="G43" s="676"/>
    </row>
    <row r="44" spans="1:7">
      <c r="A44" s="666" t="s">
        <v>1448</v>
      </c>
      <c r="B44" s="592"/>
      <c r="C44" s="681"/>
      <c r="D44" s="677"/>
      <c r="E44" s="682"/>
      <c r="F44" s="678"/>
      <c r="G44" s="676"/>
    </row>
    <row r="45" spans="1:7">
      <c r="A45" s="666" t="s">
        <v>1449</v>
      </c>
      <c r="B45" s="592"/>
      <c r="C45" s="681"/>
      <c r="D45" s="677"/>
      <c r="E45" s="682"/>
      <c r="F45" s="678"/>
      <c r="G45" s="676"/>
    </row>
    <row r="46" spans="1:7">
      <c r="A46" s="666" t="s">
        <v>296</v>
      </c>
      <c r="B46" s="592"/>
      <c r="C46" s="681"/>
      <c r="D46" s="677"/>
      <c r="E46" s="682"/>
      <c r="F46" s="678"/>
      <c r="G46" s="676"/>
    </row>
    <row r="47" spans="1:7">
      <c r="A47" s="666">
        <v>9</v>
      </c>
      <c r="B47" s="592"/>
      <c r="C47" s="677" t="s">
        <v>1474</v>
      </c>
      <c r="D47" s="677"/>
      <c r="E47" s="538">
        <f>SUM(E44:E46)</f>
        <v>0</v>
      </c>
      <c r="F47" s="678"/>
      <c r="G47" s="676"/>
    </row>
    <row r="48" spans="1:7">
      <c r="A48" s="666"/>
      <c r="B48" s="592"/>
      <c r="C48" s="677"/>
      <c r="D48" s="677"/>
      <c r="E48" s="538"/>
      <c r="F48" s="678"/>
      <c r="G48" s="676"/>
    </row>
    <row r="49" spans="1:7">
      <c r="A49" s="666" t="s">
        <v>1472</v>
      </c>
      <c r="B49" s="592"/>
      <c r="C49" s="681"/>
      <c r="D49" s="677"/>
      <c r="E49" s="682"/>
      <c r="F49" s="678"/>
      <c r="G49" s="676"/>
    </row>
    <row r="50" spans="1:7">
      <c r="A50" s="666" t="s">
        <v>1473</v>
      </c>
      <c r="B50" s="592"/>
      <c r="C50" s="681"/>
      <c r="D50" s="677"/>
      <c r="E50" s="682"/>
      <c r="F50" s="678"/>
      <c r="G50" s="676"/>
    </row>
    <row r="51" spans="1:7">
      <c r="A51" s="666" t="s">
        <v>296</v>
      </c>
      <c r="B51" s="592"/>
      <c r="C51" s="681"/>
      <c r="D51" s="677"/>
      <c r="E51" s="682"/>
      <c r="F51" s="678"/>
      <c r="G51" s="676"/>
    </row>
    <row r="52" spans="1:7">
      <c r="A52" s="666">
        <v>10</v>
      </c>
      <c r="B52" s="592"/>
      <c r="C52" s="677" t="s">
        <v>1475</v>
      </c>
      <c r="D52" s="677"/>
      <c r="E52" s="538">
        <f>SUM(E49:E51)</f>
        <v>0</v>
      </c>
      <c r="F52" s="678"/>
      <c r="G52" s="676"/>
    </row>
    <row r="53" spans="1:7">
      <c r="A53" s="666"/>
      <c r="B53" s="592"/>
      <c r="C53" s="677"/>
      <c r="D53" s="677"/>
      <c r="E53" s="538"/>
      <c r="F53" s="678"/>
      <c r="G53" s="676"/>
    </row>
    <row r="54" spans="1:7">
      <c r="A54" s="666"/>
      <c r="B54" s="592"/>
      <c r="C54" s="677"/>
      <c r="D54" s="677"/>
      <c r="E54" s="538"/>
      <c r="F54" s="678"/>
      <c r="G54" s="676"/>
    </row>
    <row r="55" spans="1:7">
      <c r="B55" s="679" t="s">
        <v>1423</v>
      </c>
      <c r="C55" s="592"/>
      <c r="D55" s="592"/>
      <c r="E55" s="680"/>
      <c r="F55" s="592"/>
      <c r="G55" s="592"/>
    </row>
    <row r="56" spans="1:7">
      <c r="B56" s="592" t="s">
        <v>58</v>
      </c>
      <c r="C56" s="677" t="s">
        <v>1424</v>
      </c>
      <c r="D56" s="592"/>
      <c r="E56" s="680"/>
      <c r="F56" s="592"/>
      <c r="G56" s="592"/>
    </row>
    <row r="57" spans="1:7">
      <c r="B57" s="592"/>
      <c r="C57" s="677" t="s">
        <v>1425</v>
      </c>
      <c r="D57" s="592"/>
      <c r="E57" s="680"/>
      <c r="F57" s="592"/>
      <c r="G57" s="592"/>
    </row>
    <row r="58" spans="1:7">
      <c r="B58" s="592" t="s">
        <v>59</v>
      </c>
      <c r="C58" s="677" t="s">
        <v>1426</v>
      </c>
      <c r="D58" s="592"/>
      <c r="E58" s="680"/>
      <c r="F58" s="592"/>
      <c r="G58" s="592"/>
    </row>
    <row r="59" spans="1:7">
      <c r="B59" s="592"/>
      <c r="C59" s="677" t="s">
        <v>1425</v>
      </c>
      <c r="D59" s="592"/>
      <c r="E59" s="680"/>
      <c r="F59" s="592"/>
      <c r="G59" s="592"/>
    </row>
    <row r="60" spans="1:7">
      <c r="B60" s="592" t="s">
        <v>60</v>
      </c>
      <c r="C60" s="677" t="s">
        <v>1427</v>
      </c>
      <c r="D60" s="592"/>
      <c r="E60" s="680"/>
      <c r="F60" s="592"/>
      <c r="G60" s="592"/>
    </row>
    <row r="61" spans="1:7">
      <c r="B61" s="592" t="s">
        <v>61</v>
      </c>
      <c r="C61" s="677" t="s">
        <v>1428</v>
      </c>
      <c r="D61" s="592"/>
      <c r="E61" s="680"/>
      <c r="F61" s="592"/>
      <c r="G61" s="592"/>
    </row>
    <row r="62" spans="1:7">
      <c r="B62" s="592"/>
      <c r="C62" s="677" t="s">
        <v>1429</v>
      </c>
      <c r="D62" s="592"/>
      <c r="E62" s="680"/>
      <c r="F62" s="592"/>
      <c r="G62" s="592"/>
    </row>
    <row r="63" spans="1:7">
      <c r="B63" s="592"/>
      <c r="C63" s="677" t="s">
        <v>1430</v>
      </c>
    </row>
    <row r="64" spans="1:7">
      <c r="B64" s="592" t="s">
        <v>62</v>
      </c>
      <c r="C64" s="677" t="s">
        <v>1431</v>
      </c>
    </row>
  </sheetData>
  <sheetProtection algorithmName="SHA-512" hashValue="IfVoNtvQR+rS9mjsOdZ/LGy8vKMFkf3FqD9kx5nUnrqdZAMH7jp7pWSWAbuBwxYeFp2KUAoLMwYf3qZe6qN7oQ==" saltValue="TZ9TIaCZd3ss+5oq5oZUVA==" spinCount="100000" sheet="1" objects="1" scenarios="1"/>
  <mergeCells count="2">
    <mergeCell ref="A1:H1"/>
    <mergeCell ref="A2:H2"/>
  </mergeCells>
  <pageMargins left="0.7" right="0.7" top="0.75" bottom="0.75" header="0.3" footer="0.3"/>
  <pageSetup scale="5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A93"/>
  <sheetViews>
    <sheetView view="pageBreakPreview" topLeftCell="A41" zoomScale="90" zoomScaleNormal="100" zoomScaleSheetLayoutView="90" workbookViewId="0">
      <selection activeCell="B42" sqref="B42:C73"/>
    </sheetView>
  </sheetViews>
  <sheetFormatPr defaultColWidth="8.88671875" defaultRowHeight="12.75"/>
  <cols>
    <col min="1" max="1" width="4" style="21" customWidth="1"/>
    <col min="2" max="2" width="23.77734375" style="21" customWidth="1"/>
    <col min="3" max="3" width="13.21875" style="21" customWidth="1"/>
    <col min="4" max="4" width="11.21875" style="21" customWidth="1"/>
    <col min="5" max="5" width="9.44140625" style="21" customWidth="1"/>
    <col min="6" max="6" width="7.77734375" style="21" customWidth="1"/>
    <col min="7" max="7" width="10.44140625" style="21" customWidth="1"/>
    <col min="8" max="16" width="7.77734375" style="21" customWidth="1"/>
    <col min="17" max="17" width="10.6640625" style="21" bestFit="1" customWidth="1"/>
    <col min="18" max="16384" width="8.88671875" style="21"/>
  </cols>
  <sheetData>
    <row r="1" spans="1:27">
      <c r="E1" s="151" t="s">
        <v>193</v>
      </c>
      <c r="I1" s="328" t="s">
        <v>419</v>
      </c>
    </row>
    <row r="2" spans="1:27">
      <c r="E2" s="282" t="s">
        <v>405</v>
      </c>
    </row>
    <row r="3" spans="1:27">
      <c r="E3" s="24" t="str">
        <f>+'Attachment H-7'!D5</f>
        <v>PECO Energy Company</v>
      </c>
    </row>
    <row r="4" spans="1:27">
      <c r="I4" s="24"/>
    </row>
    <row r="5" spans="1:27">
      <c r="F5" s="62"/>
      <c r="G5" s="62"/>
      <c r="H5" s="62"/>
      <c r="I5" s="24"/>
    </row>
    <row r="6" spans="1:27" ht="15.75">
      <c r="E6" s="683"/>
      <c r="F6" s="684"/>
      <c r="G6" s="685"/>
      <c r="H6" s="684"/>
    </row>
    <row r="7" spans="1:27" ht="46.5" customHeight="1">
      <c r="A7" s="686"/>
      <c r="B7" s="687"/>
      <c r="C7" s="688" t="s">
        <v>669</v>
      </c>
      <c r="D7" s="688"/>
      <c r="E7" s="689" t="s">
        <v>968</v>
      </c>
      <c r="F7" s="690"/>
      <c r="G7" s="690"/>
      <c r="H7" s="690"/>
      <c r="S7" s="62"/>
      <c r="T7" s="62"/>
      <c r="U7" s="62"/>
      <c r="V7" s="62"/>
      <c r="W7" s="62"/>
      <c r="X7" s="62"/>
      <c r="Y7" s="62"/>
      <c r="Z7" s="62"/>
      <c r="AA7" s="62"/>
    </row>
    <row r="8" spans="1:27" ht="15.75">
      <c r="A8" s="686">
        <v>1</v>
      </c>
      <c r="B8" s="691"/>
      <c r="C8" s="21" t="s">
        <v>84</v>
      </c>
      <c r="D8" s="692"/>
      <c r="E8" s="1001">
        <v>4.4000000000000003E-3</v>
      </c>
      <c r="F8" s="693"/>
      <c r="G8" s="694"/>
      <c r="H8" s="694"/>
      <c r="S8" s="695"/>
      <c r="T8" s="695"/>
      <c r="U8" s="695"/>
      <c r="V8" s="696"/>
      <c r="W8" s="684"/>
      <c r="X8" s="685"/>
      <c r="Y8" s="684"/>
      <c r="Z8" s="695"/>
      <c r="AA8" s="62"/>
    </row>
    <row r="9" spans="1:27" ht="15.75">
      <c r="A9" s="686">
        <v>2</v>
      </c>
      <c r="B9" s="691"/>
      <c r="C9" s="21" t="s">
        <v>83</v>
      </c>
      <c r="D9" s="692"/>
      <c r="E9" s="1001">
        <v>4.0000000000000001E-3</v>
      </c>
      <c r="F9" s="693"/>
      <c r="G9" s="694"/>
      <c r="H9" s="694"/>
      <c r="S9" s="695"/>
      <c r="T9" s="697"/>
      <c r="U9" s="697"/>
      <c r="V9" s="690"/>
      <c r="W9" s="690"/>
      <c r="X9" s="690"/>
      <c r="Y9" s="690"/>
      <c r="Z9" s="690"/>
      <c r="AA9" s="62"/>
    </row>
    <row r="10" spans="1:27" ht="15.75">
      <c r="A10" s="686">
        <v>3</v>
      </c>
      <c r="B10" s="691"/>
      <c r="C10" s="21" t="s">
        <v>82</v>
      </c>
      <c r="D10" s="692"/>
      <c r="E10" s="1001">
        <v>4.4000000000000003E-3</v>
      </c>
      <c r="F10" s="693"/>
      <c r="G10" s="694"/>
      <c r="H10" s="694"/>
      <c r="S10" s="695"/>
      <c r="T10" s="697"/>
      <c r="U10" s="697"/>
      <c r="V10" s="693"/>
      <c r="W10" s="693"/>
      <c r="X10" s="698"/>
      <c r="Y10" s="698"/>
      <c r="Z10" s="698"/>
      <c r="AA10" s="62"/>
    </row>
    <row r="11" spans="1:27" ht="15.75">
      <c r="A11" s="686">
        <v>4</v>
      </c>
      <c r="B11" s="691"/>
      <c r="C11" s="21" t="s">
        <v>74</v>
      </c>
      <c r="D11" s="692"/>
      <c r="E11" s="1001">
        <v>4.4999999999999997E-3</v>
      </c>
      <c r="F11" s="693"/>
      <c r="G11" s="694"/>
      <c r="H11" s="694"/>
      <c r="S11" s="695"/>
      <c r="T11" s="697"/>
      <c r="U11" s="697"/>
      <c r="V11" s="693"/>
      <c r="W11" s="693"/>
      <c r="X11" s="698"/>
      <c r="Y11" s="698"/>
      <c r="Z11" s="698"/>
      <c r="AA11" s="62"/>
    </row>
    <row r="12" spans="1:27" ht="15.75" customHeight="1">
      <c r="A12" s="686">
        <v>5</v>
      </c>
      <c r="B12" s="691"/>
      <c r="C12" s="21" t="s">
        <v>73</v>
      </c>
      <c r="D12" s="692"/>
      <c r="E12" s="1001">
        <v>4.5999999999999999E-3</v>
      </c>
      <c r="F12" s="693"/>
      <c r="G12" s="694"/>
      <c r="H12" s="694"/>
      <c r="S12" s="695"/>
      <c r="T12" s="697"/>
      <c r="U12" s="697"/>
      <c r="V12" s="693"/>
      <c r="W12" s="693"/>
      <c r="X12" s="698"/>
      <c r="Y12" s="698"/>
      <c r="Z12" s="698"/>
      <c r="AA12" s="62"/>
    </row>
    <row r="13" spans="1:27" ht="15.75">
      <c r="A13" s="686">
        <v>6</v>
      </c>
      <c r="B13" s="691"/>
      <c r="C13" s="21" t="s">
        <v>93</v>
      </c>
      <c r="D13" s="692"/>
      <c r="E13" s="1001">
        <v>4.4999999999999997E-3</v>
      </c>
      <c r="F13" s="693"/>
      <c r="G13" s="694"/>
      <c r="H13" s="694"/>
      <c r="S13" s="695"/>
      <c r="T13" s="697"/>
      <c r="U13" s="697"/>
      <c r="V13" s="693"/>
      <c r="W13" s="693"/>
      <c r="X13" s="698"/>
      <c r="Y13" s="698"/>
      <c r="Z13" s="698"/>
      <c r="AA13" s="62"/>
    </row>
    <row r="14" spans="1:27" ht="15.75">
      <c r="A14" s="686">
        <v>7</v>
      </c>
      <c r="B14" s="691"/>
      <c r="C14" s="21" t="s">
        <v>81</v>
      </c>
      <c r="D14" s="692"/>
      <c r="E14" s="1001">
        <v>4.7000000000000002E-3</v>
      </c>
      <c r="F14" s="693"/>
      <c r="G14" s="694"/>
      <c r="H14" s="694"/>
      <c r="S14" s="695"/>
      <c r="T14" s="695"/>
      <c r="U14" s="695"/>
      <c r="V14" s="695"/>
      <c r="W14" s="695"/>
      <c r="X14" s="695"/>
      <c r="Y14" s="695"/>
      <c r="Z14" s="695"/>
      <c r="AA14" s="62"/>
    </row>
    <row r="15" spans="1:27" ht="15.75">
      <c r="A15" s="686">
        <v>8</v>
      </c>
      <c r="B15" s="691"/>
      <c r="C15" s="21" t="s">
        <v>80</v>
      </c>
      <c r="D15" s="692"/>
      <c r="E15" s="1001">
        <v>4.7000000000000002E-3</v>
      </c>
      <c r="F15" s="693"/>
      <c r="G15" s="694"/>
      <c r="H15" s="694"/>
      <c r="S15" s="695"/>
      <c r="T15" s="695"/>
      <c r="U15" s="695"/>
      <c r="V15" s="695"/>
      <c r="W15" s="695"/>
      <c r="X15" s="695"/>
      <c r="Y15" s="695"/>
      <c r="Z15" s="695"/>
      <c r="AA15" s="62"/>
    </row>
    <row r="16" spans="1:27" ht="15.75">
      <c r="A16" s="686">
        <v>9</v>
      </c>
      <c r="B16" s="691"/>
      <c r="C16" s="21" t="s">
        <v>79</v>
      </c>
      <c r="D16" s="692"/>
      <c r="E16" s="1001">
        <v>4.4999999999999997E-3</v>
      </c>
      <c r="F16" s="693"/>
      <c r="G16" s="694"/>
      <c r="H16" s="694"/>
      <c r="S16" s="695"/>
      <c r="T16" s="695"/>
      <c r="U16" s="695"/>
      <c r="V16" s="695"/>
      <c r="W16" s="695"/>
      <c r="X16" s="695"/>
      <c r="Y16" s="695"/>
      <c r="Z16" s="695"/>
      <c r="AA16" s="62"/>
    </row>
    <row r="17" spans="1:27" ht="15.75">
      <c r="A17" s="686">
        <v>10</v>
      </c>
      <c r="B17" s="691"/>
      <c r="C17" s="21" t="s">
        <v>85</v>
      </c>
      <c r="D17" s="692"/>
      <c r="E17" s="1001">
        <v>4.5999999999999999E-3</v>
      </c>
      <c r="F17" s="693"/>
      <c r="G17" s="694"/>
      <c r="H17" s="694"/>
      <c r="S17" s="695"/>
      <c r="T17" s="695"/>
      <c r="U17" s="695"/>
      <c r="V17" s="695"/>
      <c r="W17" s="695"/>
      <c r="X17" s="695"/>
      <c r="Y17" s="695"/>
      <c r="Z17" s="695"/>
      <c r="AA17" s="62"/>
    </row>
    <row r="18" spans="1:27" ht="15.75">
      <c r="A18" s="686">
        <v>11</v>
      </c>
      <c r="B18" s="691"/>
      <c r="C18" s="21" t="s">
        <v>78</v>
      </c>
      <c r="D18" s="692"/>
      <c r="E18" s="1001">
        <v>4.4999999999999997E-3</v>
      </c>
      <c r="F18" s="693"/>
      <c r="G18" s="694"/>
      <c r="H18" s="694"/>
      <c r="S18" s="695"/>
      <c r="T18" s="695"/>
      <c r="U18" s="695"/>
      <c r="V18" s="695"/>
      <c r="W18" s="695"/>
      <c r="X18" s="695"/>
      <c r="Y18" s="695"/>
      <c r="Z18" s="695"/>
      <c r="AA18" s="62"/>
    </row>
    <row r="19" spans="1:27" ht="15.75">
      <c r="A19" s="686">
        <v>12</v>
      </c>
      <c r="B19" s="691"/>
      <c r="C19" s="21" t="s">
        <v>77</v>
      </c>
      <c r="D19" s="692"/>
      <c r="E19" s="1001">
        <v>4.5999999999999999E-3</v>
      </c>
      <c r="F19" s="693"/>
      <c r="G19" s="694"/>
      <c r="H19" s="694"/>
      <c r="S19" s="695"/>
      <c r="T19" s="695"/>
      <c r="U19" s="695"/>
      <c r="V19" s="695"/>
      <c r="W19" s="695"/>
      <c r="X19" s="695"/>
      <c r="Y19" s="695"/>
      <c r="Z19" s="695"/>
      <c r="AA19" s="62"/>
    </row>
    <row r="20" spans="1:27" ht="15.75">
      <c r="A20" s="686">
        <v>13</v>
      </c>
      <c r="B20" s="691"/>
      <c r="C20" s="21" t="s">
        <v>84</v>
      </c>
      <c r="D20" s="692"/>
      <c r="E20" s="1001">
        <v>4.1999999999999997E-3</v>
      </c>
      <c r="F20" s="693"/>
      <c r="G20" s="694"/>
      <c r="H20" s="694"/>
      <c r="S20" s="695"/>
      <c r="T20" s="695"/>
      <c r="U20" s="695"/>
      <c r="V20" s="695"/>
      <c r="W20" s="695"/>
      <c r="X20" s="695"/>
      <c r="Y20" s="695"/>
      <c r="Z20" s="695"/>
      <c r="AA20" s="62"/>
    </row>
    <row r="21" spans="1:27" ht="15.75">
      <c r="A21" s="686">
        <v>14</v>
      </c>
      <c r="B21" s="691"/>
      <c r="C21" s="21" t="s">
        <v>83</v>
      </c>
      <c r="D21" s="692"/>
      <c r="E21" s="1001">
        <v>3.8999999999999998E-3</v>
      </c>
      <c r="F21" s="693"/>
      <c r="G21" s="694"/>
      <c r="H21" s="694"/>
      <c r="S21" s="695"/>
      <c r="T21" s="695"/>
      <c r="U21" s="695"/>
      <c r="V21" s="695"/>
      <c r="W21" s="695"/>
      <c r="X21" s="695"/>
      <c r="Y21" s="695"/>
      <c r="Z21" s="695"/>
      <c r="AA21" s="62"/>
    </row>
    <row r="22" spans="1:27" ht="15.75">
      <c r="A22" s="686">
        <v>15</v>
      </c>
      <c r="B22" s="691"/>
      <c r="C22" s="21" t="s">
        <v>82</v>
      </c>
      <c r="D22" s="692"/>
      <c r="E22" s="1001">
        <v>4.1999999999999997E-3</v>
      </c>
      <c r="F22" s="693"/>
      <c r="G22" s="694"/>
      <c r="H22" s="694"/>
      <c r="S22" s="695"/>
      <c r="T22" s="695"/>
      <c r="U22" s="695"/>
      <c r="V22" s="695"/>
      <c r="W22" s="695"/>
      <c r="X22" s="695"/>
      <c r="Y22" s="695"/>
      <c r="Z22" s="695"/>
      <c r="AA22" s="62"/>
    </row>
    <row r="23" spans="1:27" ht="15.75">
      <c r="A23" s="686">
        <v>16</v>
      </c>
      <c r="B23" s="691"/>
      <c r="C23" s="21" t="s">
        <v>74</v>
      </c>
      <c r="D23" s="692"/>
      <c r="E23" s="1001">
        <v>3.8999999999999998E-3</v>
      </c>
      <c r="F23" s="693"/>
      <c r="G23" s="694"/>
      <c r="H23" s="694"/>
      <c r="S23" s="695"/>
      <c r="T23" s="695"/>
      <c r="U23" s="695"/>
      <c r="V23" s="695"/>
      <c r="W23" s="695"/>
      <c r="X23" s="695"/>
      <c r="Y23" s="695"/>
      <c r="Z23" s="695"/>
      <c r="AA23" s="62"/>
    </row>
    <row r="24" spans="1:27" ht="15.75">
      <c r="A24" s="686">
        <v>17</v>
      </c>
      <c r="B24" s="691"/>
      <c r="C24" s="21" t="s">
        <v>73</v>
      </c>
      <c r="D24" s="692"/>
      <c r="E24" s="1001">
        <v>4.0000000000000001E-3</v>
      </c>
      <c r="F24" s="693"/>
      <c r="G24" s="694"/>
      <c r="H24" s="694"/>
      <c r="S24" s="695"/>
      <c r="T24" s="695"/>
      <c r="U24" s="695"/>
      <c r="V24" s="695"/>
      <c r="W24" s="695"/>
      <c r="X24" s="695"/>
      <c r="Y24" s="695"/>
      <c r="Z24" s="695"/>
      <c r="AA24" s="62"/>
    </row>
    <row r="25" spans="1:27" ht="15.75">
      <c r="A25" s="686"/>
      <c r="B25" s="691"/>
      <c r="C25" s="699"/>
      <c r="D25" s="700"/>
      <c r="E25" s="700"/>
      <c r="F25" s="700"/>
      <c r="G25" s="700"/>
      <c r="H25" s="700"/>
      <c r="S25" s="695"/>
      <c r="T25" s="695"/>
      <c r="U25" s="695"/>
      <c r="V25" s="701"/>
      <c r="W25" s="698"/>
      <c r="X25" s="695"/>
      <c r="Y25" s="695"/>
      <c r="Z25" s="695"/>
      <c r="AA25" s="62"/>
    </row>
    <row r="26" spans="1:27" ht="15.75">
      <c r="A26" s="686">
        <v>18</v>
      </c>
      <c r="B26" s="702" t="s">
        <v>670</v>
      </c>
      <c r="C26" s="239"/>
      <c r="D26" s="700"/>
      <c r="E26" s="703">
        <f>AVERAGE(E8:E24)</f>
        <v>4.3647058823529416E-3</v>
      </c>
      <c r="F26" s="700"/>
      <c r="G26" s="700"/>
      <c r="H26" s="700"/>
      <c r="S26" s="695"/>
      <c r="T26" s="695"/>
      <c r="U26" s="695"/>
      <c r="V26" s="701"/>
      <c r="W26" s="698"/>
      <c r="X26" s="695"/>
      <c r="Y26" s="695"/>
      <c r="Z26" s="695"/>
      <c r="AA26" s="62"/>
    </row>
    <row r="27" spans="1:27" ht="15.75">
      <c r="A27" s="691"/>
      <c r="B27" s="691"/>
      <c r="C27" s="239"/>
      <c r="D27" s="700"/>
      <c r="E27" s="700"/>
      <c r="F27" s="692"/>
      <c r="G27" s="692"/>
      <c r="H27" s="692"/>
      <c r="S27" s="695"/>
      <c r="T27" s="695"/>
      <c r="U27" s="695"/>
      <c r="V27" s="695"/>
      <c r="W27" s="695"/>
      <c r="X27" s="695"/>
      <c r="Y27" s="695"/>
      <c r="Z27" s="695"/>
      <c r="AA27" s="62"/>
    </row>
    <row r="28" spans="1:27" ht="16.5" thickBot="1">
      <c r="A28" s="704" t="s">
        <v>324</v>
      </c>
      <c r="B28" s="691"/>
      <c r="C28" s="691"/>
      <c r="D28" s="691"/>
      <c r="E28" s="691"/>
      <c r="F28" s="691"/>
      <c r="G28" s="691"/>
      <c r="H28" s="691"/>
      <c r="S28" s="695"/>
      <c r="T28" s="695"/>
      <c r="U28" s="695"/>
      <c r="V28" s="695"/>
      <c r="W28" s="695"/>
      <c r="X28" s="695"/>
      <c r="Y28" s="695"/>
      <c r="Z28" s="695"/>
      <c r="AA28" s="62"/>
    </row>
    <row r="29" spans="1:27" ht="15.75">
      <c r="A29" s="705" t="s">
        <v>58</v>
      </c>
      <c r="B29" s="706" t="s">
        <v>1278</v>
      </c>
      <c r="C29" s="691"/>
      <c r="D29" s="691"/>
      <c r="E29" s="691"/>
      <c r="F29" s="691"/>
      <c r="G29" s="691"/>
      <c r="H29" s="691"/>
      <c r="S29" s="697"/>
      <c r="T29" s="62"/>
      <c r="U29" s="695"/>
      <c r="V29" s="695"/>
      <c r="W29" s="695"/>
      <c r="X29" s="695"/>
      <c r="Y29" s="695"/>
      <c r="Z29" s="695"/>
      <c r="AA29" s="62"/>
    </row>
    <row r="30" spans="1:27" ht="15.75">
      <c r="A30" s="691"/>
      <c r="B30" s="706"/>
      <c r="C30" s="691"/>
      <c r="D30" s="691"/>
      <c r="E30" s="691"/>
      <c r="F30" s="691"/>
      <c r="G30" s="691"/>
      <c r="H30" s="691"/>
      <c r="S30" s="706"/>
      <c r="U30" s="706"/>
      <c r="V30" s="706"/>
      <c r="W30" s="706"/>
      <c r="X30" s="706"/>
      <c r="Y30" s="706"/>
      <c r="Z30" s="706"/>
    </row>
    <row r="31" spans="1:27" ht="15.75">
      <c r="A31" s="691"/>
      <c r="B31" s="706"/>
      <c r="C31" s="691"/>
      <c r="D31" s="691"/>
      <c r="E31" s="691"/>
      <c r="F31" s="691"/>
      <c r="G31" s="691"/>
      <c r="H31" s="691"/>
      <c r="S31" s="706"/>
      <c r="T31" s="706"/>
      <c r="U31" s="706"/>
      <c r="V31" s="706"/>
      <c r="W31" s="706"/>
      <c r="X31" s="706"/>
      <c r="Y31" s="706"/>
      <c r="Z31" s="706"/>
    </row>
    <row r="32" spans="1:27" ht="15.75">
      <c r="A32" s="691"/>
      <c r="B32" s="691"/>
      <c r="C32" s="691"/>
      <c r="D32" s="691"/>
      <c r="E32" s="691"/>
      <c r="F32" s="691"/>
      <c r="G32" s="691"/>
      <c r="H32" s="691"/>
    </row>
    <row r="33" spans="1:17">
      <c r="A33" s="281"/>
      <c r="B33" s="88"/>
      <c r="C33" s="88"/>
      <c r="D33" s="1068"/>
      <c r="E33" s="1068"/>
      <c r="F33" s="89"/>
      <c r="G33" s="89"/>
      <c r="H33" s="707"/>
      <c r="I33" s="89"/>
      <c r="J33" s="89"/>
      <c r="K33" s="89"/>
    </row>
    <row r="34" spans="1:17">
      <c r="A34" s="281">
        <v>19</v>
      </c>
      <c r="B34" s="88" t="s">
        <v>75</v>
      </c>
      <c r="C34" s="1002">
        <v>2020</v>
      </c>
      <c r="D34" s="1068"/>
      <c r="E34" s="1068"/>
      <c r="F34" s="1068"/>
      <c r="G34" s="1068"/>
      <c r="H34" s="707"/>
      <c r="I34" s="1068"/>
      <c r="J34" s="1068"/>
      <c r="K34" s="1068"/>
      <c r="L34" s="1068"/>
    </row>
    <row r="35" spans="1:17">
      <c r="A35" s="281">
        <v>20</v>
      </c>
      <c r="B35" s="88"/>
      <c r="C35" s="88"/>
      <c r="D35" s="89"/>
      <c r="E35" s="89"/>
      <c r="F35" s="572"/>
      <c r="G35" s="89"/>
      <c r="H35" s="89"/>
      <c r="I35" s="89"/>
      <c r="J35" s="89"/>
      <c r="K35" s="89"/>
      <c r="L35" s="89"/>
    </row>
    <row r="36" spans="1:17">
      <c r="A36" s="148"/>
      <c r="B36" s="298" t="s">
        <v>58</v>
      </c>
      <c r="C36" s="708" t="s">
        <v>59</v>
      </c>
      <c r="D36" s="708" t="s">
        <v>60</v>
      </c>
      <c r="E36" s="708" t="s">
        <v>61</v>
      </c>
      <c r="F36" s="708" t="s">
        <v>62</v>
      </c>
      <c r="G36" s="709" t="s">
        <v>63</v>
      </c>
      <c r="H36" s="707"/>
      <c r="I36" s="707"/>
      <c r="J36" s="707"/>
      <c r="K36" s="707"/>
      <c r="L36" s="707"/>
      <c r="M36" s="707"/>
      <c r="N36" s="707"/>
      <c r="O36" s="707"/>
      <c r="P36" s="707"/>
      <c r="Q36" s="707"/>
    </row>
    <row r="37" spans="1:17">
      <c r="A37" s="281"/>
      <c r="B37" s="710"/>
      <c r="C37" s="707"/>
      <c r="D37" s="707"/>
      <c r="E37" s="707"/>
      <c r="F37" s="707"/>
      <c r="G37" s="711"/>
      <c r="H37" s="707"/>
      <c r="I37" s="89"/>
      <c r="J37" s="707"/>
      <c r="K37" s="89"/>
      <c r="L37" s="89"/>
      <c r="M37" s="62"/>
      <c r="N37" s="62"/>
      <c r="O37" s="62"/>
      <c r="P37" s="62"/>
      <c r="Q37" s="62"/>
    </row>
    <row r="38" spans="1:17">
      <c r="A38" s="281"/>
      <c r="B38" s="297"/>
      <c r="C38" s="707"/>
      <c r="D38" s="707"/>
      <c r="E38" s="707"/>
      <c r="F38" s="707"/>
      <c r="G38" s="712"/>
      <c r="H38" s="707"/>
      <c r="I38" s="707"/>
      <c r="J38" s="707"/>
      <c r="K38" s="707"/>
      <c r="L38" s="707"/>
      <c r="M38" s="707"/>
      <c r="N38" s="707"/>
      <c r="O38" s="707"/>
      <c r="P38" s="707"/>
      <c r="Q38" s="707"/>
    </row>
    <row r="39" spans="1:17" ht="38.25">
      <c r="A39" s="281"/>
      <c r="B39" s="223" t="s">
        <v>426</v>
      </c>
      <c r="C39" s="713" t="s">
        <v>446</v>
      </c>
      <c r="D39" s="714" t="s">
        <v>11</v>
      </c>
      <c r="E39" s="707" t="s">
        <v>674</v>
      </c>
      <c r="F39" s="713" t="s">
        <v>351</v>
      </c>
      <c r="G39" s="715" t="s">
        <v>297</v>
      </c>
      <c r="H39" s="62"/>
      <c r="I39" s="62"/>
      <c r="J39" s="62"/>
      <c r="K39" s="62"/>
      <c r="L39" s="62"/>
      <c r="M39" s="62"/>
      <c r="N39" s="62"/>
      <c r="O39" s="62"/>
      <c r="P39" s="707"/>
      <c r="Q39" s="707"/>
    </row>
    <row r="40" spans="1:17" ht="30" customHeight="1">
      <c r="A40" s="281"/>
      <c r="B40" s="297"/>
      <c r="C40" s="707"/>
      <c r="D40" s="714" t="s">
        <v>773</v>
      </c>
      <c r="E40" s="707"/>
      <c r="F40" s="714" t="s">
        <v>675</v>
      </c>
      <c r="G40" s="716" t="s">
        <v>676</v>
      </c>
      <c r="H40" s="707"/>
      <c r="I40" s="707"/>
      <c r="J40" s="707"/>
      <c r="K40" s="707"/>
      <c r="L40" s="707"/>
      <c r="M40" s="707"/>
      <c r="N40" s="707"/>
      <c r="O40" s="707"/>
      <c r="P40" s="707"/>
      <c r="Q40" s="707"/>
    </row>
    <row r="41" spans="1:17">
      <c r="A41" s="281">
        <v>21</v>
      </c>
      <c r="B41" s="710" t="str">
        <f>+'1-Project Rev Req'!C66</f>
        <v xml:space="preserve">Zonal </v>
      </c>
      <c r="C41" s="89" t="str">
        <f>+'1-Project Rev Req'!D66</f>
        <v>Zonal</v>
      </c>
      <c r="D41" s="56">
        <f>+'3-Project True-up'!H18+'3-Project True-up'!I18</f>
        <v>-20854875.265422016</v>
      </c>
      <c r="E41" s="56">
        <v>17</v>
      </c>
      <c r="F41" s="1008">
        <f>+E26</f>
        <v>4.3647058823529416E-3</v>
      </c>
      <c r="G41" s="718">
        <f>+D41*E41*F41</f>
        <v>-1547431.7446943137</v>
      </c>
      <c r="H41" s="717"/>
      <c r="I41" s="178"/>
      <c r="J41" s="178"/>
      <c r="K41" s="178"/>
      <c r="L41" s="178"/>
      <c r="M41" s="62"/>
      <c r="N41" s="62"/>
      <c r="O41" s="62"/>
      <c r="P41" s="62"/>
      <c r="Q41" s="62"/>
    </row>
    <row r="42" spans="1:17">
      <c r="A42" s="281" t="s">
        <v>671</v>
      </c>
      <c r="B42" s="980" t="s">
        <v>1235</v>
      </c>
      <c r="C42" s="981" t="s">
        <v>720</v>
      </c>
      <c r="D42" s="56">
        <f>+'3-Project True-up'!H19+'3-Project True-up'!I19</f>
        <v>-391303.0285017034</v>
      </c>
      <c r="E42" s="56">
        <v>17</v>
      </c>
      <c r="F42" s="1008">
        <f>+F41</f>
        <v>4.3647058823529416E-3</v>
      </c>
      <c r="G42" s="718">
        <f t="shared" ref="G42:G65" si="0">+D42*E42*F42</f>
        <v>-29034.684714826395</v>
      </c>
      <c r="H42" s="717"/>
      <c r="I42" s="89"/>
      <c r="J42" s="717"/>
      <c r="K42" s="178"/>
      <c r="L42" s="178"/>
      <c r="M42" s="62"/>
      <c r="N42" s="62"/>
      <c r="O42" s="62"/>
      <c r="P42" s="59"/>
      <c r="Q42" s="719"/>
    </row>
    <row r="43" spans="1:17">
      <c r="A43" s="281" t="s">
        <v>672</v>
      </c>
      <c r="B43" s="980" t="s">
        <v>1235</v>
      </c>
      <c r="C43" s="981" t="s">
        <v>720</v>
      </c>
      <c r="D43" s="56">
        <f>+'3-Project True-up'!H20+'3-Project True-up'!I20</f>
        <v>-1541011.9037908507</v>
      </c>
      <c r="E43" s="56">
        <v>17</v>
      </c>
      <c r="F43" s="1008">
        <f t="shared" ref="F43:F69" si="1">+F42</f>
        <v>4.3647058823529416E-3</v>
      </c>
      <c r="G43" s="718">
        <f t="shared" si="0"/>
        <v>-114343.08326128112</v>
      </c>
      <c r="H43" s="717"/>
      <c r="I43" s="89"/>
      <c r="J43" s="717"/>
      <c r="K43" s="178"/>
      <c r="L43" s="178"/>
      <c r="M43" s="62"/>
      <c r="N43" s="62"/>
      <c r="O43" s="62"/>
      <c r="P43" s="59"/>
      <c r="Q43" s="719"/>
    </row>
    <row r="44" spans="1:17">
      <c r="A44" s="281" t="s">
        <v>673</v>
      </c>
      <c r="B44" s="980" t="s">
        <v>803</v>
      </c>
      <c r="C44" s="981" t="s">
        <v>722</v>
      </c>
      <c r="D44" s="56">
        <f>+'3-Project True-up'!H21+'3-Project True-up'!I21</f>
        <v>-870009.30987829925</v>
      </c>
      <c r="E44" s="56">
        <v>17</v>
      </c>
      <c r="F44" s="1008">
        <f t="shared" si="1"/>
        <v>4.3647058823529416E-3</v>
      </c>
      <c r="G44" s="718">
        <f t="shared" si="0"/>
        <v>-64554.690792969806</v>
      </c>
      <c r="H44" s="717"/>
      <c r="I44" s="89"/>
      <c r="J44" s="717"/>
      <c r="K44" s="178"/>
      <c r="L44" s="178"/>
      <c r="M44" s="62"/>
      <c r="N44" s="62"/>
      <c r="O44" s="62"/>
      <c r="P44" s="59"/>
      <c r="Q44" s="719"/>
    </row>
    <row r="45" spans="1:17">
      <c r="A45" s="281" t="s">
        <v>1595</v>
      </c>
      <c r="B45" s="980" t="s">
        <v>803</v>
      </c>
      <c r="C45" s="981" t="s">
        <v>1643</v>
      </c>
      <c r="D45" s="56">
        <f>+'3-Project True-up'!H22+'3-Project True-up'!I22</f>
        <v>42655.285267233732</v>
      </c>
      <c r="E45" s="56">
        <v>17</v>
      </c>
      <c r="F45" s="1008">
        <f t="shared" si="1"/>
        <v>4.3647058823529416E-3</v>
      </c>
      <c r="G45" s="718">
        <f t="shared" si="0"/>
        <v>3165.0221668287431</v>
      </c>
      <c r="H45" s="717"/>
      <c r="I45" s="89"/>
      <c r="J45" s="717"/>
      <c r="K45" s="178"/>
      <c r="L45" s="178"/>
      <c r="M45" s="62"/>
      <c r="N45" s="62"/>
      <c r="O45" s="62"/>
      <c r="P45" s="59"/>
      <c r="Q45" s="719"/>
    </row>
    <row r="46" spans="1:17">
      <c r="A46" s="281" t="s">
        <v>1596</v>
      </c>
      <c r="B46" s="980" t="s">
        <v>804</v>
      </c>
      <c r="C46" s="981" t="s">
        <v>723</v>
      </c>
      <c r="D46" s="56">
        <f>+'3-Project True-up'!H23+'3-Project True-up'!I23</f>
        <v>-105990.02137733618</v>
      </c>
      <c r="E46" s="56">
        <v>17</v>
      </c>
      <c r="F46" s="1008">
        <f t="shared" si="1"/>
        <v>4.3647058823529416E-3</v>
      </c>
      <c r="G46" s="718">
        <f t="shared" si="0"/>
        <v>-7864.4595861983453</v>
      </c>
      <c r="H46" s="717"/>
      <c r="I46" s="89"/>
      <c r="J46" s="717"/>
      <c r="K46" s="178"/>
      <c r="L46" s="178"/>
      <c r="M46" s="62"/>
      <c r="N46" s="62"/>
      <c r="O46" s="62"/>
      <c r="P46" s="59"/>
      <c r="Q46" s="719"/>
    </row>
    <row r="47" spans="1:17">
      <c r="A47" s="281" t="s">
        <v>1597</v>
      </c>
      <c r="B47" s="980" t="s">
        <v>805</v>
      </c>
      <c r="C47" s="981" t="s">
        <v>724</v>
      </c>
      <c r="D47" s="56">
        <f>+'3-Project True-up'!H24+'3-Project True-up'!I24</f>
        <v>-146489.27288637962</v>
      </c>
      <c r="E47" s="56">
        <v>17</v>
      </c>
      <c r="F47" s="1008">
        <f t="shared" si="1"/>
        <v>4.3647058823529416E-3</v>
      </c>
      <c r="G47" s="718">
        <f t="shared" si="0"/>
        <v>-10869.504048169369</v>
      </c>
      <c r="H47" s="717"/>
      <c r="I47" s="89"/>
      <c r="J47" s="717"/>
      <c r="K47" s="178"/>
      <c r="L47" s="178"/>
      <c r="M47" s="62"/>
      <c r="N47" s="62"/>
      <c r="O47" s="62"/>
      <c r="P47" s="59"/>
      <c r="Q47" s="719"/>
    </row>
    <row r="48" spans="1:17">
      <c r="A48" s="281" t="s">
        <v>1598</v>
      </c>
      <c r="B48" s="980" t="s">
        <v>806</v>
      </c>
      <c r="C48" s="981" t="s">
        <v>802</v>
      </c>
      <c r="D48" s="56">
        <f>+'3-Project True-up'!H25+'3-Project True-up'!I25</f>
        <v>5707.1263650688343</v>
      </c>
      <c r="E48" s="56">
        <v>17</v>
      </c>
      <c r="F48" s="1008">
        <f t="shared" si="1"/>
        <v>4.3647058823529416E-3</v>
      </c>
      <c r="G48" s="718">
        <f t="shared" ref="G48:G57" si="2">+D48*E48*F48</f>
        <v>423.46877628810756</v>
      </c>
      <c r="H48" s="717"/>
      <c r="I48" s="89"/>
      <c r="J48" s="717"/>
      <c r="K48" s="178"/>
      <c r="L48" s="178"/>
      <c r="M48" s="62"/>
      <c r="N48" s="62"/>
      <c r="O48" s="62"/>
      <c r="P48" s="59"/>
      <c r="Q48" s="719"/>
    </row>
    <row r="49" spans="1:17">
      <c r="A49" s="281" t="s">
        <v>1599</v>
      </c>
      <c r="B49" s="980" t="s">
        <v>917</v>
      </c>
      <c r="C49" s="981" t="s">
        <v>918</v>
      </c>
      <c r="D49" s="56">
        <f>+'3-Project True-up'!H26+'3-Project True-up'!I26</f>
        <v>938783.26967736613</v>
      </c>
      <c r="E49" s="56">
        <v>17</v>
      </c>
      <c r="F49" s="1008">
        <f t="shared" si="1"/>
        <v>4.3647058823529416E-3</v>
      </c>
      <c r="G49" s="718">
        <f t="shared" si="2"/>
        <v>69657.718610060576</v>
      </c>
      <c r="H49" s="717"/>
      <c r="I49" s="89"/>
      <c r="J49" s="717"/>
      <c r="K49" s="178"/>
      <c r="L49" s="178"/>
      <c r="M49" s="62"/>
      <c r="N49" s="62"/>
      <c r="O49" s="62"/>
      <c r="P49" s="59"/>
      <c r="Q49" s="719"/>
    </row>
    <row r="50" spans="1:17">
      <c r="A50" s="281" t="s">
        <v>1600</v>
      </c>
      <c r="B50" s="980" t="s">
        <v>807</v>
      </c>
      <c r="C50" s="981" t="s">
        <v>725</v>
      </c>
      <c r="D50" s="56">
        <f>+'3-Project True-up'!H27+'3-Project True-up'!I27</f>
        <v>-879637.09376688162</v>
      </c>
      <c r="E50" s="56">
        <v>17</v>
      </c>
      <c r="F50" s="1008">
        <f t="shared" si="1"/>
        <v>4.3647058823529416E-3</v>
      </c>
      <c r="G50" s="718">
        <f t="shared" si="2"/>
        <v>-65269.07235750262</v>
      </c>
      <c r="H50" s="717"/>
      <c r="I50" s="89"/>
      <c r="J50" s="717"/>
      <c r="K50" s="178"/>
      <c r="L50" s="178"/>
      <c r="M50" s="62"/>
      <c r="N50" s="62"/>
      <c r="O50" s="62"/>
      <c r="P50" s="59"/>
      <c r="Q50" s="719"/>
    </row>
    <row r="51" spans="1:17">
      <c r="A51" s="281" t="s">
        <v>1602</v>
      </c>
      <c r="B51" s="980" t="s">
        <v>808</v>
      </c>
      <c r="C51" s="981" t="s">
        <v>726</v>
      </c>
      <c r="D51" s="56">
        <f>+'3-Project True-up'!H28+'3-Project True-up'!I28</f>
        <v>-696157.71811016416</v>
      </c>
      <c r="E51" s="56">
        <v>17</v>
      </c>
      <c r="F51" s="1008">
        <f t="shared" si="1"/>
        <v>4.3647058823529416E-3</v>
      </c>
      <c r="G51" s="718">
        <f t="shared" si="2"/>
        <v>-51654.902683774184</v>
      </c>
      <c r="H51" s="717"/>
      <c r="I51" s="89"/>
      <c r="J51" s="717"/>
      <c r="K51" s="178"/>
      <c r="L51" s="178"/>
      <c r="M51" s="62"/>
      <c r="N51" s="62"/>
      <c r="O51" s="62"/>
      <c r="P51" s="59"/>
      <c r="Q51" s="719"/>
    </row>
    <row r="52" spans="1:17">
      <c r="A52" s="281" t="s">
        <v>1603</v>
      </c>
      <c r="B52" s="980" t="s">
        <v>809</v>
      </c>
      <c r="C52" s="981" t="s">
        <v>727</v>
      </c>
      <c r="D52" s="56">
        <f>+'3-Project True-up'!H29+'3-Project True-up'!I29</f>
        <v>-643600.93704865663</v>
      </c>
      <c r="E52" s="56">
        <v>17</v>
      </c>
      <c r="F52" s="1008">
        <f t="shared" si="1"/>
        <v>4.3647058823529416E-3</v>
      </c>
      <c r="G52" s="718">
        <f t="shared" si="2"/>
        <v>-47755.189529010328</v>
      </c>
      <c r="H52" s="717"/>
      <c r="I52" s="89"/>
      <c r="J52" s="717"/>
      <c r="K52" s="178"/>
      <c r="L52" s="178"/>
      <c r="M52" s="62"/>
      <c r="N52" s="62"/>
      <c r="O52" s="62"/>
      <c r="P52" s="59"/>
      <c r="Q52" s="719"/>
    </row>
    <row r="53" spans="1:17">
      <c r="A53" s="281" t="s">
        <v>1604</v>
      </c>
      <c r="B53" s="980" t="s">
        <v>810</v>
      </c>
      <c r="C53" s="981" t="s">
        <v>728</v>
      </c>
      <c r="D53" s="56">
        <f>+'3-Project True-up'!H30+'3-Project True-up'!I30</f>
        <v>-466324.07130990084</v>
      </c>
      <c r="E53" s="56">
        <v>17</v>
      </c>
      <c r="F53" s="1008">
        <f t="shared" si="1"/>
        <v>4.3647058823529416E-3</v>
      </c>
      <c r="G53" s="718">
        <f t="shared" si="2"/>
        <v>-34601.246091194647</v>
      </c>
      <c r="H53" s="717"/>
      <c r="I53" s="89"/>
      <c r="J53" s="717"/>
      <c r="K53" s="178"/>
      <c r="L53" s="178"/>
      <c r="M53" s="62"/>
      <c r="N53" s="62"/>
      <c r="O53" s="62"/>
      <c r="P53" s="59"/>
      <c r="Q53" s="719"/>
    </row>
    <row r="54" spans="1:17">
      <c r="A54" s="281" t="s">
        <v>1605</v>
      </c>
      <c r="B54" s="980" t="s">
        <v>811</v>
      </c>
      <c r="C54" s="981" t="s">
        <v>729</v>
      </c>
      <c r="D54" s="56">
        <f>+'3-Project True-up'!H31+'3-Project True-up'!I31</f>
        <v>-294970.76992656465</v>
      </c>
      <c r="E54" s="56">
        <v>17</v>
      </c>
      <c r="F54" s="1008">
        <f t="shared" si="1"/>
        <v>4.3647058823529416E-3</v>
      </c>
      <c r="G54" s="718">
        <f t="shared" si="2"/>
        <v>-21886.831128551101</v>
      </c>
      <c r="H54" s="717"/>
      <c r="I54" s="89"/>
      <c r="J54" s="717"/>
      <c r="K54" s="178"/>
      <c r="L54" s="178"/>
      <c r="M54" s="62"/>
      <c r="N54" s="62"/>
      <c r="O54" s="62"/>
      <c r="P54" s="59"/>
      <c r="Q54" s="719"/>
    </row>
    <row r="55" spans="1:17">
      <c r="A55" s="281" t="s">
        <v>1606</v>
      </c>
      <c r="B55" s="980" t="s">
        <v>812</v>
      </c>
      <c r="C55" s="981" t="s">
        <v>730</v>
      </c>
      <c r="D55" s="56">
        <f>+'3-Project True-up'!H32+'3-Project True-up'!I32</f>
        <v>-62060.929723868147</v>
      </c>
      <c r="E55" s="56">
        <v>17</v>
      </c>
      <c r="F55" s="1008">
        <f t="shared" si="1"/>
        <v>4.3647058823529416E-3</v>
      </c>
      <c r="G55" s="718">
        <f t="shared" si="2"/>
        <v>-4604.9209855110166</v>
      </c>
      <c r="H55" s="717"/>
      <c r="I55" s="89"/>
      <c r="J55" s="717"/>
      <c r="K55" s="178"/>
      <c r="L55" s="178"/>
      <c r="M55" s="62"/>
      <c r="N55" s="62"/>
      <c r="O55" s="62"/>
      <c r="P55" s="59"/>
      <c r="Q55" s="719"/>
    </row>
    <row r="56" spans="1:17">
      <c r="A56" s="281" t="s">
        <v>1601</v>
      </c>
      <c r="B56" s="980" t="s">
        <v>813</v>
      </c>
      <c r="C56" s="981" t="s">
        <v>731</v>
      </c>
      <c r="D56" s="56">
        <f>+'3-Project True-up'!H33+'3-Project True-up'!I33</f>
        <v>-78118.12489824451</v>
      </c>
      <c r="E56" s="56">
        <v>17</v>
      </c>
      <c r="F56" s="1008">
        <f t="shared" si="1"/>
        <v>4.3647058823529416E-3</v>
      </c>
      <c r="G56" s="718">
        <f t="shared" si="2"/>
        <v>-5796.3648674497435</v>
      </c>
      <c r="H56" s="717"/>
      <c r="I56" s="89"/>
      <c r="J56" s="717"/>
      <c r="K56" s="178"/>
      <c r="L56" s="178"/>
      <c r="M56" s="62"/>
      <c r="N56" s="62"/>
      <c r="O56" s="62"/>
      <c r="P56" s="59"/>
      <c r="Q56" s="719"/>
    </row>
    <row r="57" spans="1:17">
      <c r="A57" s="281" t="s">
        <v>1607</v>
      </c>
      <c r="B57" s="980" t="s">
        <v>1047</v>
      </c>
      <c r="C57" s="981" t="s">
        <v>732</v>
      </c>
      <c r="D57" s="56">
        <f>+'3-Project True-up'!H34+'3-Project True-up'!I34</f>
        <v>-84074.283218754281</v>
      </c>
      <c r="E57" s="56">
        <v>17</v>
      </c>
      <c r="F57" s="1008">
        <f>+F56</f>
        <v>4.3647058823529416E-3</v>
      </c>
      <c r="G57" s="718">
        <f t="shared" si="2"/>
        <v>-6238.311814831568</v>
      </c>
      <c r="H57" s="717"/>
      <c r="I57" s="89"/>
      <c r="J57" s="717"/>
      <c r="K57" s="178"/>
      <c r="L57" s="178"/>
      <c r="M57" s="62"/>
      <c r="N57" s="62"/>
      <c r="O57" s="62"/>
      <c r="P57" s="59"/>
      <c r="Q57" s="719"/>
    </row>
    <row r="58" spans="1:17">
      <c r="A58" s="281" t="s">
        <v>1608</v>
      </c>
      <c r="B58" s="980" t="s">
        <v>812</v>
      </c>
      <c r="C58" s="981" t="s">
        <v>733</v>
      </c>
      <c r="D58" s="56">
        <f>+'3-Project True-up'!H35+'3-Project True-up'!I35</f>
        <v>-84825.910263069381</v>
      </c>
      <c r="E58" s="56">
        <v>17</v>
      </c>
      <c r="F58" s="1008">
        <f>+F57</f>
        <v>4.3647058823529416E-3</v>
      </c>
      <c r="G58" s="718">
        <f t="shared" si="0"/>
        <v>-6294.0825415197487</v>
      </c>
      <c r="H58" s="717"/>
      <c r="I58" s="62"/>
      <c r="J58" s="62"/>
      <c r="K58" s="178"/>
      <c r="L58" s="178"/>
      <c r="M58" s="62"/>
      <c r="N58" s="62"/>
      <c r="O58" s="62"/>
      <c r="P58" s="59"/>
      <c r="Q58" s="719"/>
    </row>
    <row r="59" spans="1:17">
      <c r="A59" s="281" t="s">
        <v>1609</v>
      </c>
      <c r="B59" s="980" t="s">
        <v>814</v>
      </c>
      <c r="C59" s="981" t="s">
        <v>734</v>
      </c>
      <c r="D59" s="56">
        <f>+'3-Project True-up'!H36+'3-Project True-up'!I36</f>
        <v>-108036.53519117733</v>
      </c>
      <c r="E59" s="56">
        <v>17</v>
      </c>
      <c r="F59" s="1008">
        <f t="shared" si="1"/>
        <v>4.3647058823529416E-3</v>
      </c>
      <c r="G59" s="718">
        <f t="shared" si="0"/>
        <v>-8016.3109111853591</v>
      </c>
      <c r="H59" s="717"/>
      <c r="I59" s="62"/>
      <c r="J59" s="62"/>
      <c r="K59" s="178"/>
      <c r="L59" s="178"/>
      <c r="M59" s="62"/>
      <c r="N59" s="62"/>
      <c r="O59" s="62"/>
      <c r="P59" s="59"/>
      <c r="Q59" s="719"/>
    </row>
    <row r="60" spans="1:17">
      <c r="A60" s="281" t="s">
        <v>1610</v>
      </c>
      <c r="B60" s="980" t="s">
        <v>815</v>
      </c>
      <c r="C60" s="981" t="s">
        <v>735</v>
      </c>
      <c r="D60" s="56">
        <f>+'3-Project True-up'!H37+'3-Project True-up'!I37</f>
        <v>-146438.64920081408</v>
      </c>
      <c r="E60" s="56">
        <v>17</v>
      </c>
      <c r="F60" s="1008">
        <f t="shared" si="1"/>
        <v>4.3647058823529416E-3</v>
      </c>
      <c r="G60" s="718">
        <f t="shared" si="0"/>
        <v>-10865.747770700404</v>
      </c>
      <c r="H60" s="717"/>
      <c r="I60" s="62"/>
      <c r="J60" s="62"/>
      <c r="K60" s="178"/>
      <c r="L60" s="178"/>
      <c r="M60" s="62"/>
      <c r="N60" s="62"/>
      <c r="O60" s="62"/>
      <c r="P60" s="59"/>
      <c r="Q60" s="719"/>
    </row>
    <row r="61" spans="1:17">
      <c r="A61" s="281" t="s">
        <v>1611</v>
      </c>
      <c r="B61" s="980" t="s">
        <v>816</v>
      </c>
      <c r="C61" s="981" t="s">
        <v>737</v>
      </c>
      <c r="D61" s="56">
        <f>+'3-Project True-up'!H38+'3-Project True-up'!I38</f>
        <v>-83254.547942042409</v>
      </c>
      <c r="E61" s="56">
        <v>17</v>
      </c>
      <c r="F61" s="1008">
        <f t="shared" si="1"/>
        <v>4.3647058823529416E-3</v>
      </c>
      <c r="G61" s="718">
        <f t="shared" si="0"/>
        <v>-6177.4874572995468</v>
      </c>
      <c r="H61" s="717"/>
      <c r="K61" s="178"/>
      <c r="L61" s="178"/>
      <c r="M61" s="62"/>
      <c r="N61" s="62"/>
      <c r="O61" s="62"/>
      <c r="P61" s="59"/>
      <c r="Q61" s="719"/>
    </row>
    <row r="62" spans="1:17">
      <c r="A62" s="281" t="s">
        <v>1612</v>
      </c>
      <c r="B62" s="980" t="s">
        <v>1048</v>
      </c>
      <c r="C62" s="981" t="s">
        <v>1659</v>
      </c>
      <c r="D62" s="56">
        <f>+'3-Project True-up'!H39+'3-Project True-up'!I39</f>
        <v>-71082.8420175465</v>
      </c>
      <c r="E62" s="56">
        <v>17</v>
      </c>
      <c r="F62" s="1008">
        <f t="shared" si="1"/>
        <v>4.3647058823529416E-3</v>
      </c>
      <c r="G62" s="718">
        <f t="shared" si="0"/>
        <v>-5274.3468777019507</v>
      </c>
      <c r="H62" s="717"/>
      <c r="K62" s="178"/>
      <c r="L62" s="178"/>
      <c r="M62" s="62"/>
      <c r="N62" s="62"/>
      <c r="O62" s="62"/>
      <c r="P62" s="59"/>
      <c r="Q62" s="719"/>
    </row>
    <row r="63" spans="1:17">
      <c r="A63" s="281" t="s">
        <v>1613</v>
      </c>
      <c r="B63" s="980" t="s">
        <v>817</v>
      </c>
      <c r="C63" s="981" t="s">
        <v>738</v>
      </c>
      <c r="D63" s="56">
        <f>+'3-Project True-up'!H40+'3-Project True-up'!I40</f>
        <v>-88401.859101445909</v>
      </c>
      <c r="E63" s="56">
        <v>17</v>
      </c>
      <c r="F63" s="1008">
        <f t="shared" si="1"/>
        <v>4.3647058823529416E-3</v>
      </c>
      <c r="G63" s="718">
        <f t="shared" si="0"/>
        <v>-6559.4179453272873</v>
      </c>
      <c r="H63" s="717"/>
      <c r="K63" s="178"/>
      <c r="L63" s="178"/>
      <c r="M63" s="62"/>
      <c r="N63" s="62"/>
      <c r="O63" s="62"/>
      <c r="P63" s="59"/>
      <c r="Q63" s="719"/>
    </row>
    <row r="64" spans="1:17">
      <c r="A64" s="281" t="s">
        <v>1614</v>
      </c>
      <c r="B64" s="980" t="s">
        <v>1236</v>
      </c>
      <c r="C64" s="981" t="s">
        <v>721</v>
      </c>
      <c r="D64" s="56">
        <f>+'3-Project True-up'!H41+'3-Project True-up'!I41</f>
        <v>139861.79328782798</v>
      </c>
      <c r="E64" s="56">
        <v>17</v>
      </c>
      <c r="F64" s="1008">
        <f t="shared" si="1"/>
        <v>4.3647058823529416E-3</v>
      </c>
      <c r="G64" s="718">
        <f t="shared" si="0"/>
        <v>10377.745061956837</v>
      </c>
      <c r="H64" s="717"/>
      <c r="K64" s="178"/>
      <c r="L64" s="178"/>
      <c r="M64" s="62"/>
      <c r="N64" s="62"/>
      <c r="O64" s="62"/>
      <c r="P64" s="59"/>
      <c r="Q64" s="719"/>
    </row>
    <row r="65" spans="1:17">
      <c r="A65" s="281" t="s">
        <v>1615</v>
      </c>
      <c r="B65" s="980" t="s">
        <v>1237</v>
      </c>
      <c r="C65" s="981" t="s">
        <v>736</v>
      </c>
      <c r="D65" s="56">
        <f>+'3-Project True-up'!H42+'3-Project True-up'!I42</f>
        <v>106838.04909184983</v>
      </c>
      <c r="E65" s="56">
        <v>17</v>
      </c>
      <c r="F65" s="1008">
        <f t="shared" si="1"/>
        <v>4.3647058823529416E-3</v>
      </c>
      <c r="G65" s="718">
        <f t="shared" si="0"/>
        <v>7927.3832426152585</v>
      </c>
      <c r="H65" s="717"/>
      <c r="K65" s="178"/>
      <c r="L65" s="178"/>
      <c r="M65" s="62"/>
      <c r="N65" s="62"/>
      <c r="O65" s="62"/>
      <c r="P65" s="59"/>
      <c r="Q65" s="719"/>
    </row>
    <row r="66" spans="1:17">
      <c r="A66" s="281" t="s">
        <v>1645</v>
      </c>
      <c r="B66" s="980" t="s">
        <v>1640</v>
      </c>
      <c r="C66" s="981" t="s">
        <v>1641</v>
      </c>
      <c r="D66" s="56">
        <f>+'3-Project True-up'!H43+'3-Project True-up'!I43</f>
        <v>1181214.8716655439</v>
      </c>
      <c r="E66" s="56">
        <v>17</v>
      </c>
      <c r="F66" s="1008">
        <f t="shared" si="1"/>
        <v>4.3647058823529416E-3</v>
      </c>
      <c r="G66" s="718">
        <f t="shared" ref="G66" si="3">+D66*E66*F66</f>
        <v>87646.143477583362</v>
      </c>
      <c r="H66" s="717"/>
      <c r="K66" s="178"/>
      <c r="L66" s="178"/>
      <c r="M66" s="62"/>
      <c r="N66" s="62"/>
      <c r="O66" s="62"/>
      <c r="P66" s="59"/>
      <c r="Q66" s="719"/>
    </row>
    <row r="67" spans="1:17">
      <c r="A67" s="281" t="s">
        <v>1646</v>
      </c>
      <c r="B67" s="980" t="s">
        <v>1656</v>
      </c>
      <c r="C67" s="981" t="s">
        <v>1657</v>
      </c>
      <c r="D67" s="56">
        <f>+'3-Project True-up'!H44+'3-Project True-up'!I44</f>
        <v>54930.907637597746</v>
      </c>
      <c r="E67" s="56">
        <v>17</v>
      </c>
      <c r="F67" s="1008">
        <f t="shared" si="1"/>
        <v>4.3647058823529416E-3</v>
      </c>
      <c r="G67" s="718">
        <f t="shared" ref="G67:G69" si="4">+D67*E67*F67</f>
        <v>4075.8733467097532</v>
      </c>
      <c r="H67" s="717"/>
      <c r="K67" s="178"/>
      <c r="L67" s="178"/>
      <c r="M67" s="62"/>
      <c r="N67" s="62"/>
      <c r="O67" s="62"/>
      <c r="P67" s="59"/>
      <c r="Q67" s="719"/>
    </row>
    <row r="68" spans="1:17" hidden="1">
      <c r="A68" s="281"/>
      <c r="B68" s="980"/>
      <c r="C68" s="981"/>
      <c r="D68" s="56"/>
      <c r="E68" s="56">
        <v>19</v>
      </c>
      <c r="F68" s="717">
        <f t="shared" si="1"/>
        <v>4.3647058823529416E-3</v>
      </c>
      <c r="G68" s="718">
        <f t="shared" si="4"/>
        <v>0</v>
      </c>
      <c r="H68" s="717"/>
      <c r="K68" s="178"/>
      <c r="L68" s="178"/>
      <c r="M68" s="62"/>
      <c r="N68" s="62"/>
      <c r="O68" s="62"/>
      <c r="P68" s="59"/>
      <c r="Q68" s="719"/>
    </row>
    <row r="69" spans="1:17" hidden="1">
      <c r="A69" s="281"/>
      <c r="B69" s="980"/>
      <c r="C69" s="981"/>
      <c r="D69" s="56"/>
      <c r="E69" s="56">
        <v>20</v>
      </c>
      <c r="F69" s="717">
        <f t="shared" si="1"/>
        <v>4.3647058823529416E-3</v>
      </c>
      <c r="G69" s="718">
        <f t="shared" si="4"/>
        <v>0</v>
      </c>
      <c r="H69" s="717"/>
      <c r="K69" s="178"/>
      <c r="L69" s="178"/>
      <c r="M69" s="62"/>
      <c r="N69" s="62"/>
      <c r="O69" s="62"/>
      <c r="P69" s="59"/>
      <c r="Q69" s="719"/>
    </row>
    <row r="70" spans="1:17">
      <c r="A70" s="281" t="s">
        <v>296</v>
      </c>
      <c r="B70" s="980"/>
      <c r="C70" s="981"/>
      <c r="D70" s="717"/>
      <c r="E70" s="56"/>
      <c r="F70" s="717"/>
      <c r="G70" s="720"/>
      <c r="H70" s="717"/>
      <c r="K70" s="178"/>
      <c r="L70" s="178"/>
      <c r="M70" s="62"/>
      <c r="N70" s="62"/>
      <c r="O70" s="62"/>
      <c r="P70" s="59"/>
      <c r="Q70" s="719"/>
    </row>
    <row r="71" spans="1:17">
      <c r="A71" s="281"/>
      <c r="B71" s="980"/>
      <c r="C71" s="981"/>
      <c r="D71" s="717"/>
      <c r="E71" s="56"/>
      <c r="F71" s="717"/>
      <c r="G71" s="720"/>
      <c r="H71" s="717"/>
      <c r="K71" s="178"/>
      <c r="L71" s="178"/>
      <c r="M71" s="62"/>
      <c r="N71" s="62"/>
      <c r="O71" s="62"/>
      <c r="P71" s="59"/>
      <c r="Q71" s="719"/>
    </row>
    <row r="72" spans="1:17">
      <c r="A72" s="281"/>
      <c r="B72" s="980"/>
      <c r="C72" s="981"/>
      <c r="D72" s="717"/>
      <c r="E72" s="56"/>
      <c r="F72" s="717"/>
      <c r="G72" s="720"/>
      <c r="H72" s="717"/>
      <c r="K72" s="178"/>
      <c r="L72" s="178"/>
      <c r="M72" s="62"/>
      <c r="N72" s="62"/>
      <c r="O72" s="62"/>
      <c r="P72" s="59"/>
      <c r="Q72" s="719"/>
    </row>
    <row r="73" spans="1:17">
      <c r="A73" s="281"/>
      <c r="B73" s="980"/>
      <c r="C73" s="981"/>
      <c r="D73" s="717"/>
      <c r="E73" s="56"/>
      <c r="F73" s="717"/>
      <c r="G73" s="720"/>
      <c r="H73" s="717"/>
      <c r="K73" s="178"/>
      <c r="L73" s="178"/>
      <c r="M73" s="62"/>
      <c r="N73" s="62"/>
      <c r="O73" s="62"/>
      <c r="P73" s="59"/>
      <c r="Q73" s="719"/>
    </row>
    <row r="74" spans="1:17">
      <c r="A74" s="281"/>
      <c r="B74" s="721"/>
      <c r="C74" s="722"/>
      <c r="D74" s="723"/>
      <c r="E74" s="723"/>
      <c r="F74" s="723"/>
      <c r="G74" s="724"/>
      <c r="H74" s="717"/>
      <c r="K74" s="178"/>
      <c r="L74" s="178"/>
      <c r="M74" s="62"/>
      <c r="N74" s="62"/>
      <c r="O74" s="62"/>
      <c r="P74" s="59"/>
      <c r="Q74" s="719"/>
    </row>
    <row r="75" spans="1:17">
      <c r="A75" s="281"/>
      <c r="B75" s="89"/>
      <c r="C75" s="89"/>
      <c r="D75" s="572"/>
      <c r="E75" s="725"/>
      <c r="F75" s="89"/>
      <c r="G75" s="725"/>
      <c r="H75" s="572"/>
      <c r="K75" s="89"/>
      <c r="L75" s="89"/>
      <c r="M75" s="62"/>
      <c r="N75" s="62"/>
      <c r="O75" s="62"/>
      <c r="P75" s="59"/>
      <c r="Q75" s="62"/>
    </row>
    <row r="76" spans="1:17">
      <c r="A76" s="281"/>
      <c r="B76" s="88"/>
      <c r="C76" s="88"/>
      <c r="D76" s="717"/>
      <c r="E76" s="717"/>
      <c r="F76" s="717"/>
      <c r="G76" s="717"/>
      <c r="H76" s="717"/>
      <c r="K76" s="717"/>
      <c r="L76" s="717"/>
      <c r="M76" s="62"/>
      <c r="N76" s="62"/>
      <c r="O76" s="62"/>
      <c r="P76" s="62"/>
      <c r="Q76" s="62"/>
    </row>
    <row r="77" spans="1:17">
      <c r="A77" s="281"/>
      <c r="B77" s="88"/>
      <c r="C77" s="88"/>
      <c r="D77" s="307"/>
      <c r="E77" s="307"/>
      <c r="F77" s="307"/>
      <c r="G77" s="307"/>
      <c r="H77" s="307"/>
      <c r="K77" s="307"/>
      <c r="L77" s="307"/>
    </row>
    <row r="78" spans="1:17">
      <c r="A78" s="281"/>
      <c r="B78" s="88"/>
      <c r="C78" s="88"/>
      <c r="D78" s="307"/>
      <c r="E78" s="307"/>
      <c r="F78" s="307"/>
      <c r="G78" s="307"/>
      <c r="H78" s="307"/>
      <c r="K78" s="307"/>
      <c r="L78" s="307"/>
    </row>
    <row r="79" spans="1:17">
      <c r="A79" s="281"/>
      <c r="B79" s="88"/>
      <c r="C79" s="88"/>
      <c r="D79" s="307"/>
      <c r="E79" s="307"/>
      <c r="F79" s="307"/>
      <c r="G79" s="307"/>
      <c r="H79" s="307"/>
      <c r="K79" s="307"/>
      <c r="L79" s="307"/>
    </row>
    <row r="93" ht="24" customHeight="1"/>
  </sheetData>
  <sheetProtection algorithmName="SHA-512" hashValue="B4u8GRfuo8oxyQ31eWxgNwkHG+nXnQVhFhB6VdiX6vcc4iAXqfFXQVHZ4L7ouhWlxBr8QkY2XS7GGYl4sYhWFw==" saltValue="ki4tEJZ+p2NUu5AkdKsrEQ==" spinCount="100000" sheet="1" objects="1" scenarios="1"/>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4">
    <mergeCell ref="D33:E33"/>
    <mergeCell ref="D34:E34"/>
    <mergeCell ref="F34:G34"/>
    <mergeCell ref="I34:L34"/>
  </mergeCells>
  <phoneticPr fontId="0" type="noConversion"/>
  <pageMargins left="0.25" right="0.25" top="0.75" bottom="0.75" header="0.3" footer="0.3"/>
  <pageSetup scale="47"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65"/>
  <sheetViews>
    <sheetView view="pageBreakPreview" zoomScale="75" zoomScaleNormal="100" zoomScaleSheetLayoutView="75" workbookViewId="0">
      <selection activeCell="C19" sqref="C19:C20"/>
    </sheetView>
  </sheetViews>
  <sheetFormatPr defaultColWidth="8.88671875" defaultRowHeight="15"/>
  <cols>
    <col min="1" max="1" width="8.88671875" style="530"/>
    <col min="2" max="2" width="43.77734375" style="530" customWidth="1"/>
    <col min="3" max="3" width="15.5546875" style="530" customWidth="1"/>
    <col min="4" max="4" width="16.33203125" style="530" customWidth="1"/>
    <col min="5" max="5" width="13.5546875" style="530" customWidth="1"/>
    <col min="6" max="6" width="14.44140625" style="530" customWidth="1"/>
    <col min="7" max="16384" width="8.88671875" style="530"/>
  </cols>
  <sheetData>
    <row r="1" spans="1:13">
      <c r="A1" s="726"/>
      <c r="C1" s="533" t="s">
        <v>194</v>
      </c>
      <c r="F1" s="655" t="s">
        <v>419</v>
      </c>
    </row>
    <row r="2" spans="1:13">
      <c r="C2" s="727" t="s">
        <v>283</v>
      </c>
    </row>
    <row r="3" spans="1:13">
      <c r="A3" s="728"/>
      <c r="C3" s="533" t="str">
        <f>+'Attachment H-7'!D5</f>
        <v>PECO Energy Company</v>
      </c>
    </row>
    <row r="4" spans="1:13">
      <c r="A4" s="728"/>
      <c r="C4" s="729"/>
    </row>
    <row r="5" spans="1:13">
      <c r="A5" s="728"/>
      <c r="C5" s="729"/>
    </row>
    <row r="6" spans="1:13">
      <c r="A6" s="730"/>
      <c r="B6" s="731" t="s">
        <v>280</v>
      </c>
      <c r="C6" s="732"/>
      <c r="D6" s="730"/>
    </row>
    <row r="7" spans="1:13">
      <c r="A7" s="730"/>
      <c r="B7" s="733" t="s">
        <v>198</v>
      </c>
      <c r="C7" s="732"/>
      <c r="D7" s="733" t="s">
        <v>199</v>
      </c>
      <c r="E7" s="733" t="s">
        <v>200</v>
      </c>
      <c r="F7" s="533" t="s">
        <v>201</v>
      </c>
    </row>
    <row r="8" spans="1:13">
      <c r="A8" s="730"/>
      <c r="B8" s="734"/>
      <c r="C8" s="734"/>
      <c r="D8" s="735" t="s">
        <v>770</v>
      </c>
      <c r="F8" s="736" t="s">
        <v>701</v>
      </c>
    </row>
    <row r="9" spans="1:13" ht="36" customHeight="1">
      <c r="A9" s="728"/>
      <c r="B9" s="728"/>
      <c r="C9" s="737"/>
      <c r="E9" s="639" t="s">
        <v>980</v>
      </c>
      <c r="F9" s="639" t="s">
        <v>1170</v>
      </c>
    </row>
    <row r="10" spans="1:13">
      <c r="A10" s="730">
        <v>1</v>
      </c>
      <c r="B10" s="738" t="s">
        <v>677</v>
      </c>
      <c r="C10" s="738"/>
      <c r="D10" s="607">
        <v>1066173</v>
      </c>
      <c r="E10" s="607">
        <v>679716.20693636674</v>
      </c>
      <c r="F10" s="537">
        <f>+E10*D19</f>
        <v>542277.25880838244</v>
      </c>
      <c r="G10" s="539"/>
    </row>
    <row r="11" spans="1:13">
      <c r="A11" s="730">
        <v>2</v>
      </c>
      <c r="B11" s="738" t="s">
        <v>678</v>
      </c>
      <c r="C11" s="738"/>
      <c r="D11" s="739"/>
      <c r="E11" s="982">
        <v>815433.78400445287</v>
      </c>
      <c r="F11" s="739">
        <f>+E11*D19</f>
        <v>650552.675686131</v>
      </c>
    </row>
    <row r="12" spans="1:13">
      <c r="A12" s="730">
        <v>3</v>
      </c>
      <c r="B12" s="738" t="s">
        <v>679</v>
      </c>
      <c r="C12" s="738" t="s">
        <v>680</v>
      </c>
      <c r="D12" s="607"/>
      <c r="F12" s="607">
        <f t="shared" ref="F12" si="0">+F10-F11</f>
        <v>-108275.41687774856</v>
      </c>
    </row>
    <row r="14" spans="1:13">
      <c r="A14" s="740"/>
      <c r="B14" s="740"/>
      <c r="C14" s="740"/>
      <c r="D14" s="740"/>
      <c r="E14" s="740"/>
      <c r="F14" s="740"/>
      <c r="G14" s="740"/>
      <c r="H14" s="740"/>
      <c r="I14" s="740"/>
      <c r="J14" s="740"/>
      <c r="K14" s="740"/>
      <c r="L14" s="740"/>
      <c r="M14" s="740"/>
    </row>
    <row r="15" spans="1:13" ht="15.75" thickBot="1">
      <c r="A15" s="741" t="s">
        <v>182</v>
      </c>
      <c r="B15" s="740"/>
      <c r="C15" s="740"/>
      <c r="D15" s="740"/>
      <c r="E15" s="740"/>
      <c r="F15" s="740"/>
      <c r="G15" s="740"/>
      <c r="H15" s="740"/>
      <c r="I15" s="740"/>
      <c r="J15" s="740"/>
      <c r="K15" s="740"/>
      <c r="L15" s="740"/>
      <c r="M15" s="740"/>
    </row>
    <row r="16" spans="1:13">
      <c r="A16" s="742" t="s">
        <v>58</v>
      </c>
      <c r="B16" s="743" t="s">
        <v>981</v>
      </c>
      <c r="C16" s="744"/>
      <c r="D16" s="744"/>
      <c r="E16" s="744"/>
      <c r="F16" s="744"/>
      <c r="G16" s="744"/>
      <c r="H16" s="744"/>
      <c r="I16" s="744"/>
      <c r="J16" s="744"/>
      <c r="K16" s="744"/>
      <c r="L16" s="744"/>
      <c r="M16" s="744"/>
    </row>
    <row r="17" spans="1:13">
      <c r="A17" s="742"/>
      <c r="B17" s="743" t="s">
        <v>983</v>
      </c>
      <c r="C17" s="744"/>
      <c r="D17" s="744"/>
      <c r="E17" s="744"/>
      <c r="F17" s="744"/>
      <c r="G17" s="744"/>
      <c r="H17" s="744"/>
      <c r="I17" s="744"/>
      <c r="J17" s="744"/>
      <c r="K17" s="744"/>
      <c r="L17" s="744"/>
      <c r="M17" s="744"/>
    </row>
    <row r="18" spans="1:13">
      <c r="A18" s="745"/>
      <c r="C18" s="533" t="s">
        <v>44</v>
      </c>
      <c r="D18" s="530" t="s">
        <v>53</v>
      </c>
      <c r="E18" s="533"/>
    </row>
    <row r="19" spans="1:13">
      <c r="A19" s="533" t="s">
        <v>59</v>
      </c>
      <c r="B19" s="530" t="s">
        <v>982</v>
      </c>
      <c r="C19" s="969">
        <v>166589129</v>
      </c>
      <c r="D19" s="539">
        <f>C19/C21</f>
        <v>0.79779951290634588</v>
      </c>
      <c r="E19" s="42"/>
    </row>
    <row r="20" spans="1:13">
      <c r="B20" s="530" t="s">
        <v>1384</v>
      </c>
      <c r="C20" s="982">
        <v>42221639</v>
      </c>
      <c r="D20" s="539">
        <f>C20/C21</f>
        <v>0.2022004870936541</v>
      </c>
      <c r="E20" s="42"/>
    </row>
    <row r="21" spans="1:13">
      <c r="B21" s="530" t="s">
        <v>13</v>
      </c>
      <c r="C21" s="537">
        <f>+C19+C20</f>
        <v>208810768</v>
      </c>
      <c r="D21" s="746"/>
    </row>
    <row r="23" spans="1:13">
      <c r="A23" s="533" t="s">
        <v>60</v>
      </c>
      <c r="B23" s="747" t="s">
        <v>1171</v>
      </c>
    </row>
    <row r="24" spans="1:13">
      <c r="B24" s="530" t="s">
        <v>1172</v>
      </c>
    </row>
    <row r="65" ht="24" customHeight="1"/>
  </sheetData>
  <sheetProtection algorithmName="SHA-512" hashValue="iKJt/cQw0SvDvf7BxJidqF8hfngUSlliR8/dn1Wvt746FPk0XMf8xydM0xW99f0/LvBQ141hqJcOCg1EGo3BAw==" saltValue="rA1ZObtZnRpI17B5bn/Sjw==" spinCount="100000" sheet="1" objects="1" scenarios="1"/>
  <phoneticPr fontId="0" type="noConversion"/>
  <pageMargins left="0.7" right="0.7" top="0.75" bottom="0.75" header="0.3" footer="0.3"/>
  <pageSetup scale="9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49"/>
  <sheetViews>
    <sheetView view="pageBreakPreview" topLeftCell="A70" zoomScale="70" zoomScaleNormal="70" zoomScaleSheetLayoutView="70" workbookViewId="0">
      <selection activeCell="K83" sqref="K83"/>
    </sheetView>
  </sheetViews>
  <sheetFormatPr defaultColWidth="8.77734375" defaultRowHeight="15.75"/>
  <cols>
    <col min="1" max="1" width="8.77734375" style="748"/>
    <col min="2" max="2" width="6.77734375" style="749" customWidth="1"/>
    <col min="3" max="3" width="56.6640625" style="749" customWidth="1"/>
    <col min="4" max="4" width="18.44140625" style="749" customWidth="1"/>
    <col min="5" max="5" width="21.33203125" style="749" customWidth="1"/>
    <col min="6" max="6" width="16.33203125" style="749" customWidth="1"/>
    <col min="7" max="7" width="21.44140625" style="749" customWidth="1"/>
    <col min="8" max="8" width="22.77734375" style="749" customWidth="1"/>
    <col min="9" max="11" width="22.77734375" style="750" customWidth="1"/>
    <col min="12" max="12" width="18.109375" style="750" customWidth="1"/>
    <col min="13" max="13" width="8.77734375" style="749"/>
    <col min="14" max="14" width="14.21875" style="751" bestFit="1" customWidth="1"/>
    <col min="15" max="15" width="16.44140625" style="752" customWidth="1"/>
    <col min="16" max="16" width="9.44140625" style="749" customWidth="1"/>
    <col min="17" max="17" width="9.109375" style="749" customWidth="1"/>
    <col min="18" max="16384" width="8.77734375" style="749"/>
  </cols>
  <sheetData>
    <row r="1" spans="1:15">
      <c r="L1" s="233" t="s">
        <v>1531</v>
      </c>
    </row>
    <row r="2" spans="1:15">
      <c r="B2" s="1070" t="s">
        <v>681</v>
      </c>
      <c r="C2" s="1070"/>
      <c r="D2" s="1070"/>
      <c r="E2" s="1070"/>
      <c r="F2" s="1070"/>
      <c r="G2" s="1070"/>
      <c r="H2" s="1070"/>
      <c r="I2" s="1070"/>
      <c r="J2" s="1070"/>
      <c r="K2" s="1070"/>
      <c r="L2" s="1070"/>
    </row>
    <row r="3" spans="1:15">
      <c r="B3" s="1070" t="s">
        <v>1559</v>
      </c>
      <c r="C3" s="1070"/>
      <c r="D3" s="1070"/>
      <c r="E3" s="1070"/>
      <c r="F3" s="1070"/>
      <c r="G3" s="1070"/>
      <c r="H3" s="1070"/>
      <c r="I3" s="1070"/>
      <c r="J3" s="1070"/>
      <c r="K3" s="1070"/>
      <c r="L3" s="1070"/>
    </row>
    <row r="4" spans="1:15">
      <c r="L4" s="749"/>
    </row>
    <row r="6" spans="1:15">
      <c r="G6" s="17"/>
      <c r="L6" s="243"/>
    </row>
    <row r="7" spans="1:15">
      <c r="B7" s="753" t="s">
        <v>984</v>
      </c>
      <c r="C7" s="753" t="s">
        <v>985</v>
      </c>
      <c r="D7" s="753" t="s">
        <v>986</v>
      </c>
      <c r="E7" s="753" t="s">
        <v>987</v>
      </c>
      <c r="F7" s="243" t="s">
        <v>988</v>
      </c>
      <c r="G7" s="754" t="s">
        <v>989</v>
      </c>
      <c r="H7" s="755" t="s">
        <v>990</v>
      </c>
      <c r="I7" s="243" t="s">
        <v>991</v>
      </c>
      <c r="J7" s="243" t="s">
        <v>992</v>
      </c>
      <c r="K7" s="243" t="s">
        <v>993</v>
      </c>
    </row>
    <row r="8" spans="1:15">
      <c r="C8" s="756"/>
      <c r="D8" s="753"/>
      <c r="E8" s="753"/>
      <c r="F8" s="754"/>
      <c r="G8" s="755"/>
      <c r="H8" s="243" t="s">
        <v>994</v>
      </c>
      <c r="I8" s="243" t="s">
        <v>995</v>
      </c>
      <c r="J8" s="243" t="s">
        <v>1049</v>
      </c>
      <c r="K8" s="243" t="s">
        <v>996</v>
      </c>
    </row>
    <row r="9" spans="1:15">
      <c r="C9" s="756"/>
      <c r="D9" s="753" t="s">
        <v>997</v>
      </c>
      <c r="E9" s="753" t="s">
        <v>998</v>
      </c>
      <c r="F9" s="754" t="s">
        <v>999</v>
      </c>
      <c r="G9" s="754" t="s">
        <v>1567</v>
      </c>
      <c r="H9" s="243" t="s">
        <v>1484</v>
      </c>
      <c r="I9" s="243" t="s">
        <v>996</v>
      </c>
      <c r="J9" s="243" t="s">
        <v>458</v>
      </c>
      <c r="K9" s="243" t="s">
        <v>1000</v>
      </c>
    </row>
    <row r="10" spans="1:15">
      <c r="B10" s="757" t="s">
        <v>1001</v>
      </c>
      <c r="C10" s="757" t="s">
        <v>1002</v>
      </c>
      <c r="D10" s="757" t="s">
        <v>1003</v>
      </c>
      <c r="E10" s="757" t="s">
        <v>1004</v>
      </c>
      <c r="F10" s="758" t="s">
        <v>1005</v>
      </c>
      <c r="G10" s="758" t="s">
        <v>1568</v>
      </c>
      <c r="H10" s="759" t="s">
        <v>44</v>
      </c>
      <c r="I10" s="759" t="s">
        <v>44</v>
      </c>
      <c r="J10" s="759" t="s">
        <v>44</v>
      </c>
      <c r="K10" s="759" t="s">
        <v>44</v>
      </c>
    </row>
    <row r="11" spans="1:15">
      <c r="B11" s="753"/>
      <c r="C11" s="760"/>
      <c r="D11" s="761" t="s">
        <v>1130</v>
      </c>
      <c r="E11" s="761" t="s">
        <v>1130</v>
      </c>
      <c r="F11" s="762" t="s">
        <v>1050</v>
      </c>
      <c r="G11" s="763"/>
      <c r="H11" s="762" t="s">
        <v>1129</v>
      </c>
      <c r="I11" s="762" t="s">
        <v>1129</v>
      </c>
      <c r="J11" s="764" t="s">
        <v>1051</v>
      </c>
      <c r="K11" s="764" t="s">
        <v>1485</v>
      </c>
    </row>
    <row r="12" spans="1:15" ht="16.5" thickBot="1">
      <c r="B12" s="753"/>
      <c r="C12" s="765"/>
      <c r="D12" s="766"/>
      <c r="E12" s="766"/>
      <c r="F12" s="767"/>
      <c r="G12" s="768"/>
      <c r="H12" s="769"/>
      <c r="I12" s="769"/>
      <c r="J12" s="769"/>
      <c r="K12" s="769"/>
    </row>
    <row r="13" spans="1:15" ht="16.5" thickBot="1">
      <c r="A13" s="748">
        <v>1</v>
      </c>
      <c r="B13" s="770"/>
      <c r="D13" s="771"/>
      <c r="E13" s="772"/>
      <c r="F13" s="773"/>
      <c r="G13" s="703"/>
      <c r="H13" s="1075" t="s">
        <v>1616</v>
      </c>
      <c r="I13" s="1076"/>
      <c r="J13" s="1077"/>
      <c r="K13" s="774" t="s">
        <v>1617</v>
      </c>
      <c r="N13" s="775"/>
    </row>
    <row r="14" spans="1:15">
      <c r="A14" s="748">
        <f>A13+1</f>
        <v>2</v>
      </c>
      <c r="B14" s="770"/>
      <c r="C14" s="776" t="s">
        <v>797</v>
      </c>
      <c r="D14" s="771"/>
      <c r="E14" s="772"/>
      <c r="F14" s="773"/>
      <c r="G14" s="777"/>
      <c r="H14" s="778"/>
      <c r="I14" s="778"/>
      <c r="J14" s="779"/>
      <c r="K14" s="780"/>
      <c r="N14" s="780"/>
    </row>
    <row r="15" spans="1:15">
      <c r="A15" s="748">
        <f t="shared" ref="A15:A23" si="0">A14+1</f>
        <v>3</v>
      </c>
      <c r="B15" s="770">
        <v>352</v>
      </c>
      <c r="C15" s="781" t="s">
        <v>1006</v>
      </c>
      <c r="D15" s="771" t="s">
        <v>1031</v>
      </c>
      <c r="E15" s="771" t="s">
        <v>1031</v>
      </c>
      <c r="F15" s="782" t="s">
        <v>1031</v>
      </c>
      <c r="G15" s="783">
        <v>1.7951000000000002E-2</v>
      </c>
      <c r="H15" s="848">
        <v>84648186</v>
      </c>
      <c r="I15" s="848">
        <v>22075677</v>
      </c>
      <c r="J15" s="240">
        <f t="shared" ref="J15:J22" si="1">H15-I15</f>
        <v>62572509</v>
      </c>
      <c r="K15" s="784">
        <f>IF(G15="N/A", 0, G15*H15)</f>
        <v>1519519.5868860001</v>
      </c>
      <c r="N15" s="785"/>
      <c r="O15" s="786"/>
    </row>
    <row r="16" spans="1:15">
      <c r="A16" s="748">
        <f t="shared" si="0"/>
        <v>4</v>
      </c>
      <c r="B16" s="770">
        <v>353</v>
      </c>
      <c r="C16" s="781" t="s">
        <v>1007</v>
      </c>
      <c r="D16" s="771" t="s">
        <v>1031</v>
      </c>
      <c r="E16" s="771" t="s">
        <v>1031</v>
      </c>
      <c r="F16" s="782" t="s">
        <v>1031</v>
      </c>
      <c r="G16" s="783">
        <v>1.7406000000000001E-2</v>
      </c>
      <c r="H16" s="848">
        <v>916183089</v>
      </c>
      <c r="I16" s="848">
        <v>206465896</v>
      </c>
      <c r="J16" s="240">
        <f t="shared" si="1"/>
        <v>709717193</v>
      </c>
      <c r="K16" s="784">
        <f t="shared" ref="K16:K22" si="2">IF(G16="N/A", 0, G16*H16)</f>
        <v>15947082.847134002</v>
      </c>
      <c r="N16" s="785"/>
      <c r="O16" s="786"/>
    </row>
    <row r="17" spans="1:17">
      <c r="A17" s="748">
        <f t="shared" si="0"/>
        <v>5</v>
      </c>
      <c r="B17" s="770">
        <v>354</v>
      </c>
      <c r="C17" s="781" t="s">
        <v>1008</v>
      </c>
      <c r="D17" s="771" t="s">
        <v>1031</v>
      </c>
      <c r="E17" s="771" t="s">
        <v>1031</v>
      </c>
      <c r="F17" s="782" t="s">
        <v>1031</v>
      </c>
      <c r="G17" s="783">
        <v>1.3697000000000001E-2</v>
      </c>
      <c r="H17" s="848">
        <v>289020870</v>
      </c>
      <c r="I17" s="848">
        <v>160785185</v>
      </c>
      <c r="J17" s="240">
        <f t="shared" si="1"/>
        <v>128235685</v>
      </c>
      <c r="K17" s="784">
        <f t="shared" si="2"/>
        <v>3958718.8563900003</v>
      </c>
      <c r="N17" s="785"/>
      <c r="O17" s="786"/>
    </row>
    <row r="18" spans="1:17">
      <c r="A18" s="748">
        <f t="shared" si="0"/>
        <v>6</v>
      </c>
      <c r="B18" s="770">
        <v>355</v>
      </c>
      <c r="C18" s="781" t="s">
        <v>1010</v>
      </c>
      <c r="D18" s="771" t="s">
        <v>1031</v>
      </c>
      <c r="E18" s="771" t="s">
        <v>1031</v>
      </c>
      <c r="F18" s="782" t="s">
        <v>1031</v>
      </c>
      <c r="G18" s="783">
        <v>1.5768000000000001E-2</v>
      </c>
      <c r="H18" s="848">
        <v>17404687</v>
      </c>
      <c r="I18" s="848">
        <v>2569179</v>
      </c>
      <c r="J18" s="240">
        <f t="shared" si="1"/>
        <v>14835508</v>
      </c>
      <c r="K18" s="784">
        <f t="shared" si="2"/>
        <v>274437.10461600003</v>
      </c>
      <c r="N18" s="785"/>
      <c r="O18" s="786"/>
    </row>
    <row r="19" spans="1:17">
      <c r="A19" s="748">
        <f t="shared" si="0"/>
        <v>7</v>
      </c>
      <c r="B19" s="770">
        <v>356</v>
      </c>
      <c r="C19" s="781" t="s">
        <v>1011</v>
      </c>
      <c r="D19" s="771" t="s">
        <v>1031</v>
      </c>
      <c r="E19" s="771" t="s">
        <v>1031</v>
      </c>
      <c r="F19" s="782" t="s">
        <v>1031</v>
      </c>
      <c r="G19" s="783">
        <v>1.5942000000000001E-2</v>
      </c>
      <c r="H19" s="848">
        <v>200291092</v>
      </c>
      <c r="I19" s="848">
        <v>84403607</v>
      </c>
      <c r="J19" s="240">
        <f t="shared" si="1"/>
        <v>115887485</v>
      </c>
      <c r="K19" s="784">
        <f t="shared" si="2"/>
        <v>3193040.5886640004</v>
      </c>
      <c r="N19" s="785"/>
      <c r="O19" s="786"/>
    </row>
    <row r="20" spans="1:17">
      <c r="A20" s="748">
        <f t="shared" si="0"/>
        <v>8</v>
      </c>
      <c r="B20" s="770">
        <v>357</v>
      </c>
      <c r="C20" s="781" t="s">
        <v>1012</v>
      </c>
      <c r="D20" s="771" t="s">
        <v>1031</v>
      </c>
      <c r="E20" s="771" t="s">
        <v>1031</v>
      </c>
      <c r="F20" s="782" t="s">
        <v>1031</v>
      </c>
      <c r="G20" s="783">
        <v>1.6381E-2</v>
      </c>
      <c r="H20" s="848">
        <v>16205140</v>
      </c>
      <c r="I20" s="848">
        <v>4253018</v>
      </c>
      <c r="J20" s="240">
        <f t="shared" si="1"/>
        <v>11952122</v>
      </c>
      <c r="K20" s="784">
        <f t="shared" si="2"/>
        <v>265456.39834000001</v>
      </c>
      <c r="N20" s="785"/>
      <c r="O20" s="786"/>
    </row>
    <row r="21" spans="1:17">
      <c r="A21" s="748">
        <f t="shared" si="0"/>
        <v>9</v>
      </c>
      <c r="B21" s="770">
        <v>358</v>
      </c>
      <c r="C21" s="781" t="s">
        <v>1013</v>
      </c>
      <c r="D21" s="771" t="s">
        <v>1031</v>
      </c>
      <c r="E21" s="771" t="s">
        <v>1031</v>
      </c>
      <c r="F21" s="782" t="s">
        <v>1031</v>
      </c>
      <c r="G21" s="783">
        <v>1.5535999999999999E-2</v>
      </c>
      <c r="H21" s="848">
        <v>103883450</v>
      </c>
      <c r="I21" s="848">
        <v>45482089</v>
      </c>
      <c r="J21" s="787">
        <f t="shared" si="1"/>
        <v>58401361</v>
      </c>
      <c r="K21" s="785">
        <f t="shared" si="2"/>
        <v>1613933.2792</v>
      </c>
      <c r="N21" s="785"/>
      <c r="O21" s="786"/>
    </row>
    <row r="22" spans="1:17">
      <c r="A22" s="748">
        <f t="shared" si="0"/>
        <v>10</v>
      </c>
      <c r="B22" s="770">
        <v>359</v>
      </c>
      <c r="C22" s="781" t="s">
        <v>1014</v>
      </c>
      <c r="D22" s="771" t="s">
        <v>1031</v>
      </c>
      <c r="E22" s="771" t="s">
        <v>1031</v>
      </c>
      <c r="F22" s="782" t="s">
        <v>1031</v>
      </c>
      <c r="G22" s="783">
        <v>1.1526E-2</v>
      </c>
      <c r="H22" s="848">
        <v>2545719</v>
      </c>
      <c r="I22" s="848">
        <v>2087014</v>
      </c>
      <c r="J22" s="787">
        <f t="shared" si="1"/>
        <v>458705</v>
      </c>
      <c r="K22" s="785">
        <f t="shared" si="2"/>
        <v>29341.957193999999</v>
      </c>
      <c r="N22" s="785"/>
      <c r="O22" s="786"/>
    </row>
    <row r="23" spans="1:17" ht="16.5" thickBot="1">
      <c r="A23" s="748">
        <f t="shared" si="0"/>
        <v>11</v>
      </c>
      <c r="B23" s="770"/>
      <c r="C23" s="781"/>
      <c r="D23" s="771"/>
      <c r="E23" s="771"/>
      <c r="F23" s="771"/>
      <c r="G23" s="783"/>
      <c r="H23" s="788">
        <f>SUM(H15:H22)</f>
        <v>1630182233</v>
      </c>
      <c r="I23" s="788">
        <f>SUM(I15:I22)</f>
        <v>528121665</v>
      </c>
      <c r="J23" s="788">
        <f>SUM(J15:J22)</f>
        <v>1102060568</v>
      </c>
      <c r="K23" s="788">
        <f>SUM(K15:K22)</f>
        <v>26801530.618424002</v>
      </c>
      <c r="M23" s="789"/>
      <c r="N23" s="790"/>
      <c r="O23" s="791"/>
    </row>
    <row r="24" spans="1:17" ht="16.5" thickTop="1">
      <c r="B24" s="770"/>
      <c r="C24" s="781"/>
      <c r="D24" s="771"/>
      <c r="E24" s="771"/>
      <c r="F24" s="771"/>
      <c r="G24" s="783"/>
      <c r="H24" s="787"/>
      <c r="I24" s="787"/>
      <c r="J24" s="787"/>
      <c r="K24" s="785"/>
      <c r="N24" s="785"/>
    </row>
    <row r="25" spans="1:17">
      <c r="A25" s="748">
        <f>A23+1</f>
        <v>12</v>
      </c>
      <c r="B25" s="770"/>
      <c r="C25" s="776" t="s">
        <v>902</v>
      </c>
      <c r="F25" s="95"/>
      <c r="G25" s="792"/>
      <c r="H25" s="750"/>
      <c r="J25" s="779"/>
      <c r="K25" s="780"/>
      <c r="N25" s="780"/>
    </row>
    <row r="26" spans="1:17" ht="15" customHeight="1">
      <c r="A26" s="748">
        <f>A25+1</f>
        <v>13</v>
      </c>
      <c r="B26" s="770">
        <v>390</v>
      </c>
      <c r="C26" s="781" t="s">
        <v>1006</v>
      </c>
      <c r="D26" s="771">
        <v>40</v>
      </c>
      <c r="E26" s="772" t="s">
        <v>1015</v>
      </c>
      <c r="F26" s="983">
        <v>26.62</v>
      </c>
      <c r="G26" s="793">
        <v>2.9565999999999999E-2</v>
      </c>
      <c r="H26" s="848">
        <v>49534157</v>
      </c>
      <c r="I26" s="848">
        <v>11870358</v>
      </c>
      <c r="J26" s="794">
        <f t="shared" ref="J26:J37" si="3">H26-I26</f>
        <v>37663799</v>
      </c>
      <c r="K26" s="794">
        <f t="shared" ref="K26:K37" si="4">IF(G26="N/A", 0, G26*H26)</f>
        <v>1464526.8858619998</v>
      </c>
      <c r="N26" s="795"/>
      <c r="O26" s="786"/>
    </row>
    <row r="27" spans="1:17" ht="15" customHeight="1">
      <c r="A27" s="748">
        <f t="shared" ref="A27:A38" si="5">A26+1</f>
        <v>14</v>
      </c>
      <c r="B27" s="770">
        <v>391.1</v>
      </c>
      <c r="C27" s="781" t="s">
        <v>1016</v>
      </c>
      <c r="D27" s="771">
        <v>10</v>
      </c>
      <c r="E27" s="772" t="s">
        <v>1017</v>
      </c>
      <c r="F27" s="983">
        <v>2.5</v>
      </c>
      <c r="G27" s="793">
        <v>0.106324</v>
      </c>
      <c r="H27" s="848">
        <v>83462</v>
      </c>
      <c r="I27" s="848">
        <v>65786</v>
      </c>
      <c r="J27" s="794">
        <f t="shared" si="3"/>
        <v>17676</v>
      </c>
      <c r="K27" s="794">
        <f t="shared" si="4"/>
        <v>8874.0136880000009</v>
      </c>
      <c r="N27" s="795"/>
      <c r="O27" s="786"/>
    </row>
    <row r="28" spans="1:17" ht="15" customHeight="1">
      <c r="A28" s="748">
        <f t="shared" si="5"/>
        <v>15</v>
      </c>
      <c r="B28" s="770">
        <v>391.2</v>
      </c>
      <c r="C28" s="781" t="s">
        <v>1018</v>
      </c>
      <c r="D28" s="771">
        <v>15</v>
      </c>
      <c r="E28" s="772" t="s">
        <v>1017</v>
      </c>
      <c r="F28" s="983">
        <v>10.93</v>
      </c>
      <c r="G28" s="793">
        <v>6.8283999999999997E-2</v>
      </c>
      <c r="H28" s="848">
        <v>509566</v>
      </c>
      <c r="I28" s="848">
        <v>147907</v>
      </c>
      <c r="J28" s="794">
        <f t="shared" si="3"/>
        <v>361659</v>
      </c>
      <c r="K28" s="794">
        <f t="shared" si="4"/>
        <v>34795.204743999995</v>
      </c>
      <c r="N28" s="795"/>
      <c r="O28" s="786"/>
      <c r="P28" s="796"/>
      <c r="Q28" s="797"/>
    </row>
    <row r="29" spans="1:17" ht="15" customHeight="1">
      <c r="A29" s="748">
        <f t="shared" si="5"/>
        <v>16</v>
      </c>
      <c r="B29" s="770">
        <v>391.3</v>
      </c>
      <c r="C29" s="781" t="s">
        <v>1019</v>
      </c>
      <c r="D29" s="771">
        <v>5</v>
      </c>
      <c r="E29" s="772" t="s">
        <v>1017</v>
      </c>
      <c r="F29" s="983">
        <v>3.25</v>
      </c>
      <c r="G29" s="793">
        <v>0.19739699999999999</v>
      </c>
      <c r="H29" s="848">
        <v>28616027</v>
      </c>
      <c r="I29" s="848">
        <v>13187765</v>
      </c>
      <c r="J29" s="794">
        <f t="shared" si="3"/>
        <v>15428262</v>
      </c>
      <c r="K29" s="794">
        <f t="shared" si="4"/>
        <v>5648717.8817189997</v>
      </c>
      <c r="N29" s="795"/>
      <c r="O29" s="786"/>
      <c r="P29" s="796"/>
    </row>
    <row r="30" spans="1:17" ht="15" customHeight="1">
      <c r="A30" s="748">
        <f t="shared" si="5"/>
        <v>17</v>
      </c>
      <c r="B30" s="770">
        <v>391.4</v>
      </c>
      <c r="C30" s="781" t="s">
        <v>1020</v>
      </c>
      <c r="D30" s="771">
        <v>5</v>
      </c>
      <c r="E30" s="772" t="s">
        <v>1017</v>
      </c>
      <c r="F30" s="983">
        <v>3.25</v>
      </c>
      <c r="G30" s="793">
        <v>0.40857700000000002</v>
      </c>
      <c r="H30" s="848">
        <v>656594</v>
      </c>
      <c r="I30" s="848">
        <v>-76065</v>
      </c>
      <c r="J30" s="794">
        <f t="shared" si="3"/>
        <v>732659</v>
      </c>
      <c r="K30" s="794">
        <f t="shared" si="4"/>
        <v>268269.20673800004</v>
      </c>
      <c r="N30" s="795"/>
      <c r="O30" s="786"/>
      <c r="P30" s="796"/>
    </row>
    <row r="31" spans="1:17" ht="15" customHeight="1">
      <c r="A31" s="748">
        <f t="shared" si="5"/>
        <v>18</v>
      </c>
      <c r="B31" s="770">
        <v>393</v>
      </c>
      <c r="C31" s="781" t="s">
        <v>1021</v>
      </c>
      <c r="D31" s="771">
        <v>15</v>
      </c>
      <c r="E31" s="772" t="s">
        <v>1017</v>
      </c>
      <c r="F31" s="983">
        <v>9.32</v>
      </c>
      <c r="G31" s="793">
        <v>8.6808999999999997E-2</v>
      </c>
      <c r="H31" s="848">
        <v>46470</v>
      </c>
      <c r="I31" s="848">
        <v>11016</v>
      </c>
      <c r="J31" s="794">
        <f t="shared" si="3"/>
        <v>35454</v>
      </c>
      <c r="K31" s="794">
        <f t="shared" si="4"/>
        <v>4034.0142299999998</v>
      </c>
      <c r="N31" s="795"/>
      <c r="O31" s="786"/>
    </row>
    <row r="32" spans="1:17" ht="15" customHeight="1">
      <c r="A32" s="748">
        <f t="shared" si="5"/>
        <v>19</v>
      </c>
      <c r="B32" s="770">
        <v>394</v>
      </c>
      <c r="C32" s="781" t="s">
        <v>1022</v>
      </c>
      <c r="D32" s="771">
        <v>15</v>
      </c>
      <c r="E32" s="772" t="s">
        <v>1017</v>
      </c>
      <c r="F32" s="983">
        <v>9.5399999999999991</v>
      </c>
      <c r="G32" s="793">
        <v>6.7950999999999998E-2</v>
      </c>
      <c r="H32" s="848">
        <v>37811861</v>
      </c>
      <c r="I32" s="848">
        <v>12704571</v>
      </c>
      <c r="J32" s="794">
        <f t="shared" si="3"/>
        <v>25107290</v>
      </c>
      <c r="K32" s="794">
        <f t="shared" si="4"/>
        <v>2569353.7668109997</v>
      </c>
      <c r="N32" s="795"/>
      <c r="O32" s="786"/>
    </row>
    <row r="33" spans="1:15" ht="15" customHeight="1">
      <c r="A33" s="748">
        <f t="shared" si="5"/>
        <v>20</v>
      </c>
      <c r="B33" s="770">
        <v>395.1</v>
      </c>
      <c r="C33" s="781" t="s">
        <v>1023</v>
      </c>
      <c r="D33" s="771">
        <v>20</v>
      </c>
      <c r="E33" s="772" t="s">
        <v>1017</v>
      </c>
      <c r="F33" s="983">
        <v>6.74</v>
      </c>
      <c r="G33" s="793">
        <v>4.3015999999999999E-2</v>
      </c>
      <c r="H33" s="848">
        <v>311026</v>
      </c>
      <c r="I33" s="848">
        <v>227910</v>
      </c>
      <c r="J33" s="794">
        <f t="shared" si="3"/>
        <v>83116</v>
      </c>
      <c r="K33" s="794">
        <f t="shared" si="4"/>
        <v>13379.094416</v>
      </c>
      <c r="N33" s="795"/>
      <c r="O33" s="786"/>
    </row>
    <row r="34" spans="1:15" ht="15" customHeight="1">
      <c r="A34" s="748">
        <f t="shared" si="5"/>
        <v>21</v>
      </c>
      <c r="B34" s="770">
        <v>395.2</v>
      </c>
      <c r="C34" s="781" t="s">
        <v>1024</v>
      </c>
      <c r="D34" s="771">
        <v>15</v>
      </c>
      <c r="E34" s="772" t="s">
        <v>1017</v>
      </c>
      <c r="F34" s="983">
        <v>3.5</v>
      </c>
      <c r="G34" s="793">
        <v>6.4686999999999995E-2</v>
      </c>
      <c r="H34" s="848">
        <v>101381</v>
      </c>
      <c r="I34" s="848">
        <v>81824</v>
      </c>
      <c r="J34" s="794">
        <f t="shared" si="3"/>
        <v>19557</v>
      </c>
      <c r="K34" s="794">
        <f t="shared" si="4"/>
        <v>6558.0327469999993</v>
      </c>
      <c r="N34" s="795"/>
      <c r="O34" s="786"/>
    </row>
    <row r="35" spans="1:15" ht="15" customHeight="1">
      <c r="A35" s="748">
        <f t="shared" si="5"/>
        <v>22</v>
      </c>
      <c r="B35" s="770">
        <v>397</v>
      </c>
      <c r="C35" s="781" t="s">
        <v>1025</v>
      </c>
      <c r="D35" s="771">
        <v>20</v>
      </c>
      <c r="E35" s="772" t="s">
        <v>1026</v>
      </c>
      <c r="F35" s="983">
        <v>14.46</v>
      </c>
      <c r="G35" s="793">
        <v>5.0575000000000002E-2</v>
      </c>
      <c r="H35" s="848">
        <v>128734058</v>
      </c>
      <c r="I35" s="848">
        <v>32489484</v>
      </c>
      <c r="J35" s="794">
        <f t="shared" si="3"/>
        <v>96244574</v>
      </c>
      <c r="K35" s="794">
        <f t="shared" si="4"/>
        <v>6510724.9833500003</v>
      </c>
      <c r="N35" s="795"/>
      <c r="O35" s="786"/>
    </row>
    <row r="36" spans="1:15" ht="15" customHeight="1">
      <c r="A36" s="748">
        <f t="shared" si="5"/>
        <v>23</v>
      </c>
      <c r="B36" s="770">
        <v>397.1</v>
      </c>
      <c r="C36" s="781" t="s">
        <v>1027</v>
      </c>
      <c r="D36" s="771">
        <v>15</v>
      </c>
      <c r="E36" s="772" t="s">
        <v>1028</v>
      </c>
      <c r="F36" s="983">
        <v>9.4700000000000006</v>
      </c>
      <c r="G36" s="793">
        <v>6.6081000000000001E-2</v>
      </c>
      <c r="H36" s="848">
        <v>36350171</v>
      </c>
      <c r="I36" s="848">
        <v>13922355</v>
      </c>
      <c r="J36" s="794">
        <f t="shared" si="3"/>
        <v>22427816</v>
      </c>
      <c r="K36" s="794">
        <f t="shared" si="4"/>
        <v>2402055.6498509999</v>
      </c>
      <c r="N36" s="795"/>
      <c r="O36" s="786"/>
    </row>
    <row r="37" spans="1:15" ht="15" customHeight="1">
      <c r="A37" s="748">
        <f t="shared" si="5"/>
        <v>24</v>
      </c>
      <c r="B37" s="770">
        <v>398</v>
      </c>
      <c r="C37" s="781" t="s">
        <v>1029</v>
      </c>
      <c r="D37" s="771">
        <v>15</v>
      </c>
      <c r="E37" s="772" t="s">
        <v>1017</v>
      </c>
      <c r="F37" s="983">
        <v>0.54</v>
      </c>
      <c r="G37" s="793">
        <v>1.5667580000000001</v>
      </c>
      <c r="H37" s="848">
        <v>25817</v>
      </c>
      <c r="I37" s="848">
        <v>3845</v>
      </c>
      <c r="J37" s="794">
        <f t="shared" si="3"/>
        <v>21972</v>
      </c>
      <c r="K37" s="794">
        <f t="shared" si="4"/>
        <v>40448.991286000004</v>
      </c>
      <c r="N37" s="795"/>
      <c r="O37" s="786"/>
    </row>
    <row r="38" spans="1:15" ht="15" customHeight="1" thickBot="1">
      <c r="A38" s="748">
        <f t="shared" si="5"/>
        <v>25</v>
      </c>
      <c r="B38" s="770"/>
      <c r="C38" s="781"/>
      <c r="D38" s="771"/>
      <c r="E38" s="771"/>
      <c r="F38" s="771"/>
      <c r="G38" s="798"/>
      <c r="H38" s="799">
        <f>SUM(H26:H37)</f>
        <v>282780590</v>
      </c>
      <c r="I38" s="799">
        <f>SUM(I26:I37)</f>
        <v>84636756</v>
      </c>
      <c r="J38" s="799">
        <f>SUM(J26:J37)</f>
        <v>198143834</v>
      </c>
      <c r="K38" s="799">
        <f>SUM(K26:K37)</f>
        <v>18971737.725441996</v>
      </c>
      <c r="M38" s="789"/>
      <c r="N38" s="800"/>
      <c r="O38" s="791"/>
    </row>
    <row r="39" spans="1:15" ht="15" customHeight="1" thickTop="1">
      <c r="B39" s="801"/>
      <c r="C39" s="802"/>
      <c r="D39" s="771"/>
      <c r="E39" s="771"/>
      <c r="F39" s="771"/>
      <c r="G39" s="803"/>
      <c r="H39" s="800"/>
      <c r="I39" s="800"/>
      <c r="J39" s="800"/>
      <c r="K39" s="800"/>
      <c r="L39" s="233" t="s">
        <v>1532</v>
      </c>
      <c r="M39" s="789"/>
    </row>
    <row r="40" spans="1:15" ht="15" customHeight="1">
      <c r="B40" s="1070" t="s">
        <v>681</v>
      </c>
      <c r="C40" s="1070"/>
      <c r="D40" s="1070"/>
      <c r="E40" s="1070"/>
      <c r="F40" s="1070"/>
      <c r="G40" s="1070"/>
      <c r="H40" s="1070"/>
      <c r="I40" s="1070"/>
      <c r="J40" s="1070"/>
      <c r="K40" s="1070"/>
      <c r="L40" s="1070"/>
      <c r="M40" s="789"/>
    </row>
    <row r="41" spans="1:15" ht="15" customHeight="1">
      <c r="B41" s="1070" t="s">
        <v>1559</v>
      </c>
      <c r="C41" s="1070"/>
      <c r="D41" s="1070"/>
      <c r="E41" s="1070"/>
      <c r="F41" s="1070"/>
      <c r="G41" s="1070"/>
      <c r="H41" s="1070"/>
      <c r="I41" s="1070"/>
      <c r="J41" s="1070"/>
      <c r="K41" s="1070"/>
      <c r="L41" s="1070"/>
      <c r="M41" s="789"/>
    </row>
    <row r="42" spans="1:15" ht="15" customHeight="1">
      <c r="B42" s="756"/>
      <c r="C42" s="781"/>
      <c r="D42" s="804"/>
      <c r="E42" s="804"/>
      <c r="F42" s="804"/>
      <c r="G42" s="798"/>
      <c r="H42" s="794"/>
      <c r="I42" s="794"/>
      <c r="J42" s="794"/>
      <c r="K42" s="794"/>
    </row>
    <row r="43" spans="1:15" ht="15" customHeight="1">
      <c r="A43" s="748">
        <v>1</v>
      </c>
      <c r="B43" s="756"/>
      <c r="C43" s="776" t="s">
        <v>1030</v>
      </c>
      <c r="D43" s="95"/>
      <c r="E43" s="95"/>
      <c r="F43" s="95"/>
      <c r="G43" s="777"/>
      <c r="H43" s="784"/>
      <c r="I43" s="784"/>
      <c r="J43" s="779"/>
      <c r="K43" s="780"/>
    </row>
    <row r="44" spans="1:15" ht="15" customHeight="1">
      <c r="A44" s="748">
        <f>A43+1</f>
        <v>2</v>
      </c>
      <c r="B44" s="801">
        <v>303</v>
      </c>
      <c r="C44" s="802" t="s">
        <v>1494</v>
      </c>
      <c r="D44" s="771">
        <v>2</v>
      </c>
      <c r="E44" s="771" t="s">
        <v>1031</v>
      </c>
      <c r="F44" s="782" t="s">
        <v>1031</v>
      </c>
      <c r="G44" s="805">
        <v>0.53507800000000005</v>
      </c>
      <c r="H44" s="848">
        <v>5771259</v>
      </c>
      <c r="I44" s="848">
        <v>4190529</v>
      </c>
      <c r="J44" s="794">
        <f>H44-I44</f>
        <v>1580730</v>
      </c>
      <c r="K44" s="794">
        <f t="shared" ref="K44:K51" si="6">IF(G44="N/A", 0, G44*H44)</f>
        <v>3088073.7232020004</v>
      </c>
      <c r="L44" s="806"/>
      <c r="N44" s="795"/>
      <c r="O44" s="786"/>
    </row>
    <row r="45" spans="1:15" ht="15" customHeight="1">
      <c r="A45" s="748">
        <f t="shared" ref="A45:A52" si="7">A44+1</f>
        <v>3</v>
      </c>
      <c r="B45" s="801">
        <v>303</v>
      </c>
      <c r="C45" s="802" t="s">
        <v>1495</v>
      </c>
      <c r="D45" s="771">
        <v>3</v>
      </c>
      <c r="E45" s="771" t="s">
        <v>1031</v>
      </c>
      <c r="F45" s="782" t="s">
        <v>1031</v>
      </c>
      <c r="G45" s="771" t="s">
        <v>1031</v>
      </c>
      <c r="H45" s="848">
        <v>0</v>
      </c>
      <c r="I45" s="848">
        <v>0</v>
      </c>
      <c r="J45" s="794">
        <f t="shared" ref="J45:J64" si="8">H45-I45</f>
        <v>0</v>
      </c>
      <c r="K45" s="794">
        <f t="shared" si="6"/>
        <v>0</v>
      </c>
      <c r="L45" s="806"/>
      <c r="N45" s="795"/>
      <c r="O45" s="786"/>
    </row>
    <row r="46" spans="1:15" ht="15" customHeight="1">
      <c r="A46" s="748">
        <f t="shared" si="7"/>
        <v>4</v>
      </c>
      <c r="B46" s="801">
        <v>303</v>
      </c>
      <c r="C46" s="802" t="s">
        <v>1496</v>
      </c>
      <c r="D46" s="771">
        <v>4</v>
      </c>
      <c r="E46" s="771" t="s">
        <v>1031</v>
      </c>
      <c r="F46" s="782" t="s">
        <v>1031</v>
      </c>
      <c r="G46" s="771" t="s">
        <v>1031</v>
      </c>
      <c r="H46" s="848">
        <v>0</v>
      </c>
      <c r="I46" s="848">
        <v>0</v>
      </c>
      <c r="J46" s="794">
        <f t="shared" si="8"/>
        <v>0</v>
      </c>
      <c r="K46" s="794">
        <f t="shared" si="6"/>
        <v>0</v>
      </c>
      <c r="L46" s="806"/>
      <c r="N46" s="795"/>
      <c r="O46" s="786"/>
    </row>
    <row r="47" spans="1:15" ht="15" customHeight="1">
      <c r="A47" s="748">
        <f t="shared" si="7"/>
        <v>5</v>
      </c>
      <c r="B47" s="801">
        <v>303</v>
      </c>
      <c r="C47" s="802" t="s">
        <v>1497</v>
      </c>
      <c r="D47" s="771">
        <v>5</v>
      </c>
      <c r="E47" s="771" t="s">
        <v>1031</v>
      </c>
      <c r="F47" s="782" t="s">
        <v>1031</v>
      </c>
      <c r="G47" s="805">
        <v>0.17041000000000001</v>
      </c>
      <c r="H47" s="848">
        <v>11928113</v>
      </c>
      <c r="I47" s="848">
        <v>8410862</v>
      </c>
      <c r="J47" s="794">
        <f t="shared" si="8"/>
        <v>3517251</v>
      </c>
      <c r="K47" s="794">
        <f t="shared" si="6"/>
        <v>2032669.73633</v>
      </c>
      <c r="L47" s="806"/>
      <c r="N47" s="795"/>
      <c r="O47" s="786"/>
    </row>
    <row r="48" spans="1:15" ht="15" customHeight="1">
      <c r="A48" s="748">
        <f t="shared" si="7"/>
        <v>6</v>
      </c>
      <c r="B48" s="801">
        <v>303</v>
      </c>
      <c r="C48" s="802" t="s">
        <v>1498</v>
      </c>
      <c r="D48" s="771">
        <v>7</v>
      </c>
      <c r="E48" s="771" t="s">
        <v>1031</v>
      </c>
      <c r="F48" s="782" t="s">
        <v>1031</v>
      </c>
      <c r="G48" s="771" t="s">
        <v>1031</v>
      </c>
      <c r="H48" s="848">
        <v>0</v>
      </c>
      <c r="I48" s="848">
        <v>0</v>
      </c>
      <c r="J48" s="794">
        <f t="shared" si="8"/>
        <v>0</v>
      </c>
      <c r="K48" s="794">
        <f t="shared" si="6"/>
        <v>0</v>
      </c>
      <c r="L48" s="806"/>
      <c r="N48" s="795"/>
      <c r="O48" s="786"/>
    </row>
    <row r="49" spans="1:15" ht="15" customHeight="1">
      <c r="A49" s="748">
        <f t="shared" si="7"/>
        <v>7</v>
      </c>
      <c r="B49" s="801">
        <v>303</v>
      </c>
      <c r="C49" s="802" t="s">
        <v>1499</v>
      </c>
      <c r="D49" s="771">
        <v>10</v>
      </c>
      <c r="E49" s="771" t="s">
        <v>1031</v>
      </c>
      <c r="F49" s="782" t="s">
        <v>1031</v>
      </c>
      <c r="G49" s="771" t="s">
        <v>1031</v>
      </c>
      <c r="H49" s="848">
        <v>0</v>
      </c>
      <c r="I49" s="848">
        <v>0</v>
      </c>
      <c r="J49" s="794">
        <f t="shared" si="8"/>
        <v>0</v>
      </c>
      <c r="K49" s="794">
        <f t="shared" si="6"/>
        <v>0</v>
      </c>
      <c r="L49" s="806"/>
      <c r="N49" s="795"/>
      <c r="O49" s="786"/>
    </row>
    <row r="50" spans="1:15" ht="15" customHeight="1">
      <c r="A50" s="748">
        <f t="shared" si="7"/>
        <v>8</v>
      </c>
      <c r="B50" s="801">
        <v>303</v>
      </c>
      <c r="C50" s="802" t="s">
        <v>1500</v>
      </c>
      <c r="D50" s="771">
        <v>13</v>
      </c>
      <c r="E50" s="771" t="s">
        <v>1031</v>
      </c>
      <c r="F50" s="782" t="s">
        <v>1031</v>
      </c>
      <c r="G50" s="771" t="s">
        <v>1031</v>
      </c>
      <c r="H50" s="848">
        <v>0</v>
      </c>
      <c r="I50" s="848">
        <v>0</v>
      </c>
      <c r="J50" s="794">
        <f t="shared" si="8"/>
        <v>0</v>
      </c>
      <c r="K50" s="794">
        <f t="shared" si="6"/>
        <v>0</v>
      </c>
      <c r="L50" s="806"/>
      <c r="N50" s="795"/>
      <c r="O50" s="786"/>
    </row>
    <row r="51" spans="1:15" ht="15" customHeight="1">
      <c r="A51" s="748">
        <f t="shared" si="7"/>
        <v>9</v>
      </c>
      <c r="B51" s="801">
        <v>303</v>
      </c>
      <c r="C51" s="802" t="s">
        <v>1501</v>
      </c>
      <c r="D51" s="771">
        <v>15</v>
      </c>
      <c r="E51" s="771" t="s">
        <v>1031</v>
      </c>
      <c r="F51" s="782" t="s">
        <v>1031</v>
      </c>
      <c r="G51" s="771" t="s">
        <v>1031</v>
      </c>
      <c r="H51" s="848">
        <v>0</v>
      </c>
      <c r="I51" s="848">
        <v>0</v>
      </c>
      <c r="J51" s="794">
        <f t="shared" si="8"/>
        <v>0</v>
      </c>
      <c r="K51" s="794">
        <f t="shared" si="6"/>
        <v>0</v>
      </c>
      <c r="L51" s="806"/>
      <c r="N51" s="795"/>
      <c r="O51" s="786"/>
    </row>
    <row r="52" spans="1:15" ht="16.5" thickBot="1">
      <c r="A52" s="748">
        <f t="shared" si="7"/>
        <v>10</v>
      </c>
      <c r="G52" s="807"/>
      <c r="H52" s="799">
        <f>SUM(H44:H51)</f>
        <v>17699372</v>
      </c>
      <c r="I52" s="799">
        <f t="shared" ref="I52:K52" si="9">SUM(I44:I51)</f>
        <v>12601391</v>
      </c>
      <c r="J52" s="799">
        <f t="shared" si="9"/>
        <v>5097981</v>
      </c>
      <c r="K52" s="799">
        <f t="shared" si="9"/>
        <v>5120743.4595320001</v>
      </c>
      <c r="N52" s="800"/>
      <c r="O52" s="791"/>
    </row>
    <row r="53" spans="1:15" ht="15" customHeight="1" thickTop="1">
      <c r="B53" s="801"/>
      <c r="C53" s="802"/>
      <c r="D53" s="771"/>
      <c r="E53" s="771"/>
      <c r="F53" s="782"/>
      <c r="G53" s="805"/>
      <c r="L53" s="803"/>
      <c r="N53" s="791"/>
    </row>
    <row r="54" spans="1:15" ht="15" customHeight="1">
      <c r="A54" s="748">
        <f>A52+1</f>
        <v>11</v>
      </c>
      <c r="B54" s="801">
        <v>303</v>
      </c>
      <c r="C54" s="802" t="s">
        <v>1502</v>
      </c>
      <c r="D54" s="771">
        <v>2</v>
      </c>
      <c r="E54" s="771" t="s">
        <v>1031</v>
      </c>
      <c r="F54" s="782" t="s">
        <v>1031</v>
      </c>
      <c r="G54" s="771" t="s">
        <v>1031</v>
      </c>
      <c r="H54" s="848">
        <v>0</v>
      </c>
      <c r="I54" s="848">
        <v>0</v>
      </c>
      <c r="J54" s="794">
        <f>H54-I54</f>
        <v>0</v>
      </c>
      <c r="K54" s="794">
        <f t="shared" ref="K54:K61" si="10">IF(G54="N/A", 0, G54*H54)</f>
        <v>0</v>
      </c>
      <c r="L54" s="806"/>
      <c r="N54" s="795"/>
      <c r="O54" s="786"/>
    </row>
    <row r="55" spans="1:15" ht="15" customHeight="1">
      <c r="A55" s="748">
        <f t="shared" ref="A55" si="11">A54+1</f>
        <v>12</v>
      </c>
      <c r="B55" s="801">
        <v>303</v>
      </c>
      <c r="C55" s="802" t="s">
        <v>1503</v>
      </c>
      <c r="D55" s="771">
        <v>3</v>
      </c>
      <c r="E55" s="771" t="s">
        <v>1031</v>
      </c>
      <c r="F55" s="782" t="s">
        <v>1031</v>
      </c>
      <c r="G55" s="771">
        <v>1.3887E-2</v>
      </c>
      <c r="H55" s="848">
        <v>245411</v>
      </c>
      <c r="I55" s="848">
        <v>3408</v>
      </c>
      <c r="J55" s="794">
        <f t="shared" ref="J55:J61" si="12">H55-I55</f>
        <v>242003</v>
      </c>
      <c r="K55" s="794">
        <f t="shared" si="10"/>
        <v>3408.0225570000002</v>
      </c>
      <c r="L55" s="806"/>
      <c r="N55" s="795"/>
      <c r="O55" s="786"/>
    </row>
    <row r="56" spans="1:15" ht="15" customHeight="1">
      <c r="A56" s="748">
        <f>A55+1</f>
        <v>13</v>
      </c>
      <c r="B56" s="801">
        <v>303</v>
      </c>
      <c r="C56" s="802" t="s">
        <v>1504</v>
      </c>
      <c r="D56" s="771">
        <v>4</v>
      </c>
      <c r="E56" s="771" t="s">
        <v>1031</v>
      </c>
      <c r="F56" s="782" t="s">
        <v>1031</v>
      </c>
      <c r="G56" s="771" t="s">
        <v>1031</v>
      </c>
      <c r="H56" s="848">
        <v>0</v>
      </c>
      <c r="I56" s="848">
        <v>0</v>
      </c>
      <c r="J56" s="794">
        <f t="shared" si="12"/>
        <v>0</v>
      </c>
      <c r="K56" s="794">
        <f t="shared" si="10"/>
        <v>0</v>
      </c>
      <c r="L56" s="806"/>
      <c r="N56" s="795"/>
      <c r="O56" s="786"/>
    </row>
    <row r="57" spans="1:15" ht="15" customHeight="1">
      <c r="A57" s="748">
        <f t="shared" ref="A57:A66" si="13">A56+1</f>
        <v>14</v>
      </c>
      <c r="B57" s="801">
        <v>303</v>
      </c>
      <c r="C57" s="802" t="s">
        <v>1505</v>
      </c>
      <c r="D57" s="771">
        <v>5</v>
      </c>
      <c r="E57" s="771" t="s">
        <v>1031</v>
      </c>
      <c r="F57" s="782" t="s">
        <v>1031</v>
      </c>
      <c r="G57" s="805">
        <v>0.230238</v>
      </c>
      <c r="H57" s="848">
        <v>17472905</v>
      </c>
      <c r="I57" s="848">
        <v>9813804</v>
      </c>
      <c r="J57" s="794">
        <f t="shared" si="12"/>
        <v>7659101</v>
      </c>
      <c r="K57" s="794">
        <f t="shared" si="10"/>
        <v>4022926.7013900001</v>
      </c>
      <c r="L57" s="806"/>
      <c r="N57" s="795"/>
      <c r="O57" s="786"/>
    </row>
    <row r="58" spans="1:15" ht="15" customHeight="1">
      <c r="A58" s="748">
        <f t="shared" si="13"/>
        <v>15</v>
      </c>
      <c r="B58" s="801">
        <v>303</v>
      </c>
      <c r="C58" s="802" t="s">
        <v>1506</v>
      </c>
      <c r="D58" s="771">
        <v>7</v>
      </c>
      <c r="E58" s="771" t="s">
        <v>1031</v>
      </c>
      <c r="F58" s="782" t="s">
        <v>1031</v>
      </c>
      <c r="G58" s="771" t="s">
        <v>1031</v>
      </c>
      <c r="H58" s="848">
        <v>0</v>
      </c>
      <c r="I58" s="848">
        <v>0</v>
      </c>
      <c r="J58" s="794">
        <f t="shared" si="12"/>
        <v>0</v>
      </c>
      <c r="K58" s="794">
        <f t="shared" si="10"/>
        <v>0</v>
      </c>
      <c r="L58" s="806"/>
      <c r="N58" s="795"/>
      <c r="O58" s="786"/>
    </row>
    <row r="59" spans="1:15" ht="15" customHeight="1">
      <c r="A59" s="748">
        <f t="shared" si="13"/>
        <v>16</v>
      </c>
      <c r="B59" s="801">
        <v>303</v>
      </c>
      <c r="C59" s="802" t="s">
        <v>1507</v>
      </c>
      <c r="D59" s="771">
        <v>10</v>
      </c>
      <c r="E59" s="771" t="s">
        <v>1031</v>
      </c>
      <c r="F59" s="782" t="s">
        <v>1031</v>
      </c>
      <c r="G59" s="771" t="s">
        <v>1031</v>
      </c>
      <c r="H59" s="848">
        <v>0</v>
      </c>
      <c r="I59" s="848">
        <v>0</v>
      </c>
      <c r="J59" s="794">
        <f t="shared" si="12"/>
        <v>0</v>
      </c>
      <c r="K59" s="794">
        <f t="shared" si="10"/>
        <v>0</v>
      </c>
      <c r="L59" s="806"/>
      <c r="N59" s="795"/>
      <c r="O59" s="786"/>
    </row>
    <row r="60" spans="1:15" ht="15" customHeight="1">
      <c r="A60" s="748">
        <f t="shared" si="13"/>
        <v>17</v>
      </c>
      <c r="B60" s="801">
        <v>303</v>
      </c>
      <c r="C60" s="802" t="s">
        <v>1508</v>
      </c>
      <c r="D60" s="771">
        <v>13</v>
      </c>
      <c r="E60" s="771" t="s">
        <v>1031</v>
      </c>
      <c r="F60" s="782" t="s">
        <v>1031</v>
      </c>
      <c r="G60" s="771" t="s">
        <v>1031</v>
      </c>
      <c r="H60" s="848">
        <v>0</v>
      </c>
      <c r="I60" s="848">
        <v>0</v>
      </c>
      <c r="J60" s="794">
        <f t="shared" si="12"/>
        <v>0</v>
      </c>
      <c r="K60" s="794">
        <f t="shared" si="10"/>
        <v>0</v>
      </c>
      <c r="L60" s="806"/>
      <c r="N60" s="795"/>
      <c r="O60" s="786"/>
    </row>
    <row r="61" spans="1:15" ht="15" customHeight="1">
      <c r="A61" s="748">
        <f t="shared" si="13"/>
        <v>18</v>
      </c>
      <c r="B61" s="801">
        <v>303</v>
      </c>
      <c r="C61" s="802" t="s">
        <v>1509</v>
      </c>
      <c r="D61" s="771">
        <v>15</v>
      </c>
      <c r="E61" s="771" t="s">
        <v>1031</v>
      </c>
      <c r="F61" s="782" t="s">
        <v>1031</v>
      </c>
      <c r="G61" s="771" t="s">
        <v>1031</v>
      </c>
      <c r="H61" s="848">
        <v>0</v>
      </c>
      <c r="I61" s="848">
        <v>0</v>
      </c>
      <c r="J61" s="794">
        <f t="shared" si="12"/>
        <v>0</v>
      </c>
      <c r="K61" s="794">
        <f t="shared" si="10"/>
        <v>0</v>
      </c>
      <c r="L61" s="806"/>
      <c r="N61" s="795"/>
      <c r="O61" s="786"/>
    </row>
    <row r="62" spans="1:15" ht="15" customHeight="1" thickBot="1">
      <c r="A62" s="748">
        <f t="shared" si="13"/>
        <v>19</v>
      </c>
      <c r="B62" s="801"/>
      <c r="C62" s="802"/>
      <c r="D62" s="771"/>
      <c r="E62" s="771"/>
      <c r="F62" s="782"/>
      <c r="G62" s="803"/>
      <c r="H62" s="799">
        <f>SUM(H54:H61)</f>
        <v>17718316</v>
      </c>
      <c r="I62" s="799">
        <f t="shared" ref="I62:K62" si="14">SUM(I54:I61)</f>
        <v>9817212</v>
      </c>
      <c r="J62" s="799">
        <f t="shared" si="14"/>
        <v>7901104</v>
      </c>
      <c r="K62" s="799">
        <f t="shared" si="14"/>
        <v>4026334.7239470002</v>
      </c>
      <c r="L62" s="808"/>
      <c r="N62" s="800"/>
      <c r="O62" s="791"/>
    </row>
    <row r="63" spans="1:15" ht="15" customHeight="1" thickTop="1">
      <c r="B63" s="801"/>
      <c r="C63" s="802"/>
      <c r="D63" s="771"/>
      <c r="E63" s="771"/>
      <c r="F63" s="782"/>
      <c r="G63" s="803"/>
      <c r="H63" s="794"/>
      <c r="I63" s="794"/>
      <c r="J63" s="794"/>
      <c r="K63" s="794"/>
      <c r="L63" s="808"/>
      <c r="N63" s="795"/>
    </row>
    <row r="64" spans="1:15" ht="15" customHeight="1">
      <c r="A64" s="748">
        <f>A62+1</f>
        <v>20</v>
      </c>
      <c r="B64" s="801">
        <v>303</v>
      </c>
      <c r="C64" s="802" t="s">
        <v>1521</v>
      </c>
      <c r="D64" s="771" t="s">
        <v>1031</v>
      </c>
      <c r="E64" s="771" t="s">
        <v>1031</v>
      </c>
      <c r="F64" s="782" t="s">
        <v>1031</v>
      </c>
      <c r="G64" s="771" t="s">
        <v>1031</v>
      </c>
      <c r="H64" s="848">
        <v>128162185</v>
      </c>
      <c r="I64" s="848">
        <v>96978841</v>
      </c>
      <c r="J64" s="794">
        <f t="shared" si="8"/>
        <v>31183344</v>
      </c>
      <c r="K64" s="794">
        <f>'4D - Intangible Pnt'!E105</f>
        <v>11053896.984160002</v>
      </c>
      <c r="L64" s="806"/>
      <c r="N64" s="795"/>
    </row>
    <row r="65" spans="1:15" ht="15" customHeight="1">
      <c r="A65" s="748">
        <f t="shared" si="13"/>
        <v>21</v>
      </c>
      <c r="B65" s="801">
        <v>303</v>
      </c>
      <c r="C65" s="802" t="s">
        <v>1032</v>
      </c>
      <c r="D65" s="771" t="s">
        <v>1031</v>
      </c>
      <c r="E65" s="771" t="s">
        <v>1031</v>
      </c>
      <c r="F65" s="782" t="s">
        <v>1031</v>
      </c>
      <c r="G65" s="771" t="s">
        <v>1031</v>
      </c>
      <c r="H65" s="848">
        <v>18781412</v>
      </c>
      <c r="I65" s="848">
        <v>9192331</v>
      </c>
      <c r="J65" s="794">
        <f>H65-I65</f>
        <v>9589081</v>
      </c>
      <c r="K65" s="266" t="s">
        <v>703</v>
      </c>
      <c r="N65" s="809"/>
    </row>
    <row r="66" spans="1:15" ht="15" customHeight="1" thickBot="1">
      <c r="A66" s="748">
        <f t="shared" si="13"/>
        <v>22</v>
      </c>
      <c r="B66" s="801"/>
      <c r="C66" s="802"/>
      <c r="D66" s="771"/>
      <c r="E66" s="771"/>
      <c r="F66" s="771"/>
      <c r="G66" s="803"/>
      <c r="H66" s="799">
        <f>SUM(H64:H65)</f>
        <v>146943597</v>
      </c>
      <c r="I66" s="799">
        <f t="shared" ref="I66:K66" si="15">SUM(I64:I65)</f>
        <v>106171172</v>
      </c>
      <c r="J66" s="799">
        <f t="shared" si="15"/>
        <v>40772425</v>
      </c>
      <c r="K66" s="799">
        <f t="shared" si="15"/>
        <v>11053896.984160002</v>
      </c>
      <c r="M66" s="789"/>
      <c r="N66" s="800"/>
    </row>
    <row r="67" spans="1:15" ht="15" customHeight="1" thickTop="1">
      <c r="B67" s="756"/>
      <c r="C67" s="781"/>
      <c r="D67" s="804"/>
      <c r="E67" s="804"/>
      <c r="F67" s="804"/>
      <c r="G67" s="810"/>
      <c r="H67" s="794"/>
      <c r="I67" s="794"/>
      <c r="J67" s="794"/>
      <c r="K67" s="794"/>
      <c r="N67" s="795"/>
    </row>
    <row r="68" spans="1:15">
      <c r="A68" s="748">
        <f>A66+1</f>
        <v>23</v>
      </c>
      <c r="B68" s="756"/>
      <c r="C68" s="776" t="s">
        <v>1520</v>
      </c>
      <c r="D68" s="95"/>
      <c r="E68" s="95"/>
      <c r="F68" s="95"/>
      <c r="G68" s="777"/>
      <c r="H68" s="784"/>
      <c r="I68" s="784"/>
      <c r="J68" s="779"/>
      <c r="K68" s="780"/>
      <c r="N68" s="780"/>
    </row>
    <row r="69" spans="1:15">
      <c r="A69" s="748">
        <f t="shared" ref="A69:A96" si="16">A68+1</f>
        <v>24</v>
      </c>
      <c r="B69" s="770">
        <v>303</v>
      </c>
      <c r="C69" s="802" t="s">
        <v>1486</v>
      </c>
      <c r="D69" s="771">
        <v>2</v>
      </c>
      <c r="E69" s="771" t="s">
        <v>1031</v>
      </c>
      <c r="F69" s="782" t="s">
        <v>1031</v>
      </c>
      <c r="G69" s="771" t="s">
        <v>1031</v>
      </c>
      <c r="H69" s="848">
        <v>0</v>
      </c>
      <c r="I69" s="848">
        <v>0</v>
      </c>
      <c r="J69" s="794">
        <f t="shared" ref="J69:J95" si="17">H69-I69</f>
        <v>0</v>
      </c>
      <c r="K69" s="794">
        <f t="shared" ref="K69:K76" si="18">IF(G69="N/A", 0, G69*H69)</f>
        <v>0</v>
      </c>
      <c r="L69" s="806"/>
      <c r="N69" s="795"/>
      <c r="O69" s="786"/>
    </row>
    <row r="70" spans="1:15">
      <c r="A70" s="748">
        <f t="shared" si="16"/>
        <v>25</v>
      </c>
      <c r="B70" s="770">
        <v>303</v>
      </c>
      <c r="C70" s="802" t="s">
        <v>1487</v>
      </c>
      <c r="D70" s="771">
        <v>3</v>
      </c>
      <c r="E70" s="771" t="s">
        <v>1031</v>
      </c>
      <c r="F70" s="782" t="s">
        <v>1031</v>
      </c>
      <c r="G70" s="771">
        <v>5.2207000000000003E-2</v>
      </c>
      <c r="H70" s="848">
        <v>332272</v>
      </c>
      <c r="I70" s="848">
        <v>17347</v>
      </c>
      <c r="J70" s="794">
        <f t="shared" si="17"/>
        <v>314925</v>
      </c>
      <c r="K70" s="794">
        <f t="shared" si="18"/>
        <v>17346.924304</v>
      </c>
      <c r="L70" s="806"/>
      <c r="N70" s="795"/>
      <c r="O70" s="786"/>
    </row>
    <row r="71" spans="1:15">
      <c r="A71" s="748">
        <f t="shared" si="16"/>
        <v>26</v>
      </c>
      <c r="B71" s="770">
        <v>303</v>
      </c>
      <c r="C71" s="802" t="s">
        <v>1488</v>
      </c>
      <c r="D71" s="771">
        <v>4</v>
      </c>
      <c r="E71" s="771" t="s">
        <v>1031</v>
      </c>
      <c r="F71" s="782" t="s">
        <v>1031</v>
      </c>
      <c r="G71" s="771" t="s">
        <v>1031</v>
      </c>
      <c r="H71" s="848">
        <v>0</v>
      </c>
      <c r="I71" s="848">
        <v>0</v>
      </c>
      <c r="J71" s="794">
        <f t="shared" si="17"/>
        <v>0</v>
      </c>
      <c r="K71" s="794">
        <f t="shared" si="18"/>
        <v>0</v>
      </c>
      <c r="L71" s="806"/>
      <c r="N71" s="795"/>
      <c r="O71" s="786"/>
    </row>
    <row r="72" spans="1:15">
      <c r="A72" s="748">
        <f t="shared" si="16"/>
        <v>27</v>
      </c>
      <c r="B72" s="770">
        <v>303</v>
      </c>
      <c r="C72" s="802" t="s">
        <v>1489</v>
      </c>
      <c r="D72" s="771">
        <v>5</v>
      </c>
      <c r="E72" s="771" t="s">
        <v>1031</v>
      </c>
      <c r="F72" s="782" t="s">
        <v>1031</v>
      </c>
      <c r="G72" s="805">
        <v>8.4796999999999997E-2</v>
      </c>
      <c r="H72" s="848">
        <v>229959380</v>
      </c>
      <c r="I72" s="848">
        <v>161634363</v>
      </c>
      <c r="J72" s="794">
        <f t="shared" si="17"/>
        <v>68325017</v>
      </c>
      <c r="K72" s="794">
        <f t="shared" si="18"/>
        <v>19499865.54586</v>
      </c>
      <c r="L72" s="806"/>
      <c r="N72" s="795"/>
      <c r="O72" s="786"/>
    </row>
    <row r="73" spans="1:15">
      <c r="A73" s="748">
        <f t="shared" si="16"/>
        <v>28</v>
      </c>
      <c r="B73" s="770">
        <v>303</v>
      </c>
      <c r="C73" s="802" t="s">
        <v>1490</v>
      </c>
      <c r="D73" s="771">
        <v>7</v>
      </c>
      <c r="E73" s="771" t="s">
        <v>1031</v>
      </c>
      <c r="F73" s="782" t="s">
        <v>1031</v>
      </c>
      <c r="G73" s="771" t="s">
        <v>1031</v>
      </c>
      <c r="H73" s="848">
        <v>0</v>
      </c>
      <c r="I73" s="848">
        <v>0</v>
      </c>
      <c r="J73" s="794">
        <f t="shared" si="17"/>
        <v>0</v>
      </c>
      <c r="K73" s="794">
        <f t="shared" si="18"/>
        <v>0</v>
      </c>
      <c r="L73" s="806"/>
      <c r="N73" s="795"/>
      <c r="O73" s="786"/>
    </row>
    <row r="74" spans="1:15">
      <c r="A74" s="748">
        <f t="shared" si="16"/>
        <v>29</v>
      </c>
      <c r="B74" s="770">
        <v>303</v>
      </c>
      <c r="C74" s="802" t="s">
        <v>1491</v>
      </c>
      <c r="D74" s="771">
        <v>10</v>
      </c>
      <c r="E74" s="771" t="s">
        <v>1031</v>
      </c>
      <c r="F74" s="782" t="s">
        <v>1031</v>
      </c>
      <c r="G74" s="771" t="s">
        <v>1031</v>
      </c>
      <c r="H74" s="848">
        <v>0</v>
      </c>
      <c r="I74" s="848">
        <v>0</v>
      </c>
      <c r="J74" s="794">
        <f t="shared" si="17"/>
        <v>0</v>
      </c>
      <c r="K74" s="794">
        <f t="shared" si="18"/>
        <v>0</v>
      </c>
      <c r="L74" s="806"/>
      <c r="N74" s="795"/>
      <c r="O74" s="786"/>
    </row>
    <row r="75" spans="1:15">
      <c r="A75" s="748">
        <f t="shared" si="16"/>
        <v>30</v>
      </c>
      <c r="B75" s="770">
        <v>303</v>
      </c>
      <c r="C75" s="802" t="s">
        <v>1492</v>
      </c>
      <c r="D75" s="771">
        <v>13</v>
      </c>
      <c r="E75" s="771" t="s">
        <v>1031</v>
      </c>
      <c r="F75" s="782" t="s">
        <v>1031</v>
      </c>
      <c r="G75" s="771" t="s">
        <v>1031</v>
      </c>
      <c r="H75" s="848">
        <v>0</v>
      </c>
      <c r="I75" s="848">
        <v>0</v>
      </c>
      <c r="J75" s="794">
        <f t="shared" si="17"/>
        <v>0</v>
      </c>
      <c r="K75" s="794">
        <f t="shared" si="18"/>
        <v>0</v>
      </c>
      <c r="L75" s="806"/>
      <c r="N75" s="795"/>
      <c r="O75" s="786"/>
    </row>
    <row r="76" spans="1:15">
      <c r="A76" s="748">
        <f t="shared" si="16"/>
        <v>31</v>
      </c>
      <c r="B76" s="770">
        <v>303</v>
      </c>
      <c r="C76" s="802" t="s">
        <v>1493</v>
      </c>
      <c r="D76" s="771">
        <v>15</v>
      </c>
      <c r="E76" s="771" t="s">
        <v>1031</v>
      </c>
      <c r="F76" s="782" t="s">
        <v>1031</v>
      </c>
      <c r="G76" s="771" t="s">
        <v>1031</v>
      </c>
      <c r="H76" s="848">
        <v>0</v>
      </c>
      <c r="I76" s="848">
        <v>0</v>
      </c>
      <c r="J76" s="794">
        <f t="shared" si="17"/>
        <v>0</v>
      </c>
      <c r="K76" s="794">
        <f t="shared" si="18"/>
        <v>0</v>
      </c>
      <c r="L76" s="806"/>
      <c r="N76" s="795"/>
      <c r="O76" s="786"/>
    </row>
    <row r="77" spans="1:15">
      <c r="A77" s="748">
        <f t="shared" si="16"/>
        <v>32</v>
      </c>
      <c r="B77" s="770">
        <v>303</v>
      </c>
      <c r="C77" s="802" t="s">
        <v>1032</v>
      </c>
      <c r="D77" s="771" t="s">
        <v>1031</v>
      </c>
      <c r="E77" s="771" t="s">
        <v>1031</v>
      </c>
      <c r="F77" s="782" t="s">
        <v>1031</v>
      </c>
      <c r="G77" s="771" t="s">
        <v>1031</v>
      </c>
      <c r="H77" s="848">
        <v>147738</v>
      </c>
      <c r="I77" s="848">
        <v>147738</v>
      </c>
      <c r="J77" s="794">
        <f t="shared" si="17"/>
        <v>0</v>
      </c>
      <c r="K77" s="811" t="s">
        <v>703</v>
      </c>
      <c r="N77" s="812"/>
      <c r="O77" s="786"/>
    </row>
    <row r="78" spans="1:15">
      <c r="A78" s="748">
        <f t="shared" si="16"/>
        <v>33</v>
      </c>
      <c r="B78" s="770">
        <v>390</v>
      </c>
      <c r="C78" s="781" t="s">
        <v>1006</v>
      </c>
      <c r="D78" s="771">
        <v>50</v>
      </c>
      <c r="E78" s="772" t="s">
        <v>1015</v>
      </c>
      <c r="F78" s="983">
        <v>36.299999999999997</v>
      </c>
      <c r="G78" s="805">
        <v>1.9363999999999999E-2</v>
      </c>
      <c r="H78" s="848">
        <v>226634074</v>
      </c>
      <c r="I78" s="848">
        <v>61764371</v>
      </c>
      <c r="J78" s="794">
        <f t="shared" si="17"/>
        <v>164869703</v>
      </c>
      <c r="K78" s="794">
        <f t="shared" ref="K78:K81" si="19">IF(G78="N/A", 0, G78*H78)</f>
        <v>4388542.2089360002</v>
      </c>
      <c r="N78" s="795"/>
      <c r="O78" s="786"/>
    </row>
    <row r="79" spans="1:15">
      <c r="A79" s="748">
        <f t="shared" si="16"/>
        <v>34</v>
      </c>
      <c r="B79" s="770">
        <v>391.1</v>
      </c>
      <c r="C79" s="781" t="s">
        <v>1016</v>
      </c>
      <c r="D79" s="771">
        <v>10</v>
      </c>
      <c r="E79" s="772" t="s">
        <v>1017</v>
      </c>
      <c r="F79" s="983">
        <v>1.5</v>
      </c>
      <c r="G79" s="805">
        <v>0.188194</v>
      </c>
      <c r="H79" s="848">
        <v>100099</v>
      </c>
      <c r="I79" s="848">
        <v>15811</v>
      </c>
      <c r="J79" s="794">
        <f t="shared" si="17"/>
        <v>84288</v>
      </c>
      <c r="K79" s="794">
        <f t="shared" si="19"/>
        <v>18838.031206</v>
      </c>
      <c r="N79" s="795"/>
      <c r="O79" s="786"/>
    </row>
    <row r="80" spans="1:15">
      <c r="A80" s="748">
        <f t="shared" si="16"/>
        <v>35</v>
      </c>
      <c r="B80" s="770">
        <v>391.2</v>
      </c>
      <c r="C80" s="781" t="s">
        <v>1018</v>
      </c>
      <c r="D80" s="771">
        <v>15</v>
      </c>
      <c r="E80" s="772" t="s">
        <v>1017</v>
      </c>
      <c r="F80" s="983">
        <v>10.8</v>
      </c>
      <c r="G80" s="805">
        <v>6.7576999999999998E-2</v>
      </c>
      <c r="H80" s="848">
        <v>16548288</v>
      </c>
      <c r="I80" s="848">
        <v>3061813</v>
      </c>
      <c r="J80" s="794">
        <f t="shared" si="17"/>
        <v>13486475</v>
      </c>
      <c r="K80" s="794">
        <f t="shared" si="19"/>
        <v>1118283.658176</v>
      </c>
      <c r="N80" s="795"/>
      <c r="O80" s="786"/>
    </row>
    <row r="81" spans="1:16">
      <c r="A81" s="748">
        <f t="shared" si="16"/>
        <v>36</v>
      </c>
      <c r="B81" s="770">
        <v>391.3</v>
      </c>
      <c r="C81" s="781" t="s">
        <v>1019</v>
      </c>
      <c r="D81" s="771">
        <v>5</v>
      </c>
      <c r="E81" s="772" t="s">
        <v>1017</v>
      </c>
      <c r="F81" s="983">
        <v>2.68</v>
      </c>
      <c r="G81" s="805">
        <v>0.19339999999999999</v>
      </c>
      <c r="H81" s="848">
        <v>29150184</v>
      </c>
      <c r="I81" s="848">
        <v>13404514</v>
      </c>
      <c r="J81" s="794">
        <f t="shared" si="17"/>
        <v>15745670</v>
      </c>
      <c r="K81" s="794">
        <f t="shared" si="19"/>
        <v>5637645.5855999999</v>
      </c>
      <c r="N81" s="795"/>
      <c r="O81" s="786"/>
    </row>
    <row r="82" spans="1:16">
      <c r="A82" s="748">
        <f t="shared" si="16"/>
        <v>37</v>
      </c>
      <c r="B82" s="770">
        <v>392.1</v>
      </c>
      <c r="C82" s="781" t="s">
        <v>1033</v>
      </c>
      <c r="D82" s="771">
        <v>6</v>
      </c>
      <c r="E82" s="772" t="s">
        <v>1026</v>
      </c>
      <c r="F82" s="983">
        <v>4.09</v>
      </c>
      <c r="G82" s="803" t="s">
        <v>1031</v>
      </c>
      <c r="H82" s="848">
        <v>72553</v>
      </c>
      <c r="I82" s="848">
        <v>72079</v>
      </c>
      <c r="J82" s="794">
        <f t="shared" si="17"/>
        <v>474</v>
      </c>
      <c r="K82" s="811" t="s">
        <v>703</v>
      </c>
      <c r="M82" s="813"/>
      <c r="N82" s="813"/>
      <c r="O82" s="786"/>
    </row>
    <row r="83" spans="1:16">
      <c r="A83" s="748">
        <f t="shared" si="16"/>
        <v>38</v>
      </c>
      <c r="B83" s="770">
        <v>392.2</v>
      </c>
      <c r="C83" s="781" t="s">
        <v>1034</v>
      </c>
      <c r="D83" s="771">
        <v>12</v>
      </c>
      <c r="E83" s="772" t="s">
        <v>1035</v>
      </c>
      <c r="F83" s="983">
        <v>7.37</v>
      </c>
      <c r="G83" s="803" t="s">
        <v>1031</v>
      </c>
      <c r="H83" s="848">
        <v>26839337</v>
      </c>
      <c r="I83" s="848">
        <v>12378794</v>
      </c>
      <c r="J83" s="794">
        <f t="shared" si="17"/>
        <v>14460543</v>
      </c>
      <c r="K83" s="811" t="s">
        <v>703</v>
      </c>
      <c r="M83" s="813"/>
      <c r="N83" s="813"/>
      <c r="O83" s="786"/>
    </row>
    <row r="84" spans="1:16">
      <c r="A84" s="748">
        <f t="shared" si="16"/>
        <v>39</v>
      </c>
      <c r="B84" s="770">
        <v>392.3</v>
      </c>
      <c r="C84" s="781" t="s">
        <v>1036</v>
      </c>
      <c r="D84" s="771">
        <v>14</v>
      </c>
      <c r="E84" s="772" t="s">
        <v>1009</v>
      </c>
      <c r="F84" s="983">
        <v>8.27</v>
      </c>
      <c r="G84" s="803" t="s">
        <v>1031</v>
      </c>
      <c r="H84" s="848">
        <v>68038889</v>
      </c>
      <c r="I84" s="848">
        <v>28792657</v>
      </c>
      <c r="J84" s="794">
        <f t="shared" si="17"/>
        <v>39246232</v>
      </c>
      <c r="K84" s="811" t="s">
        <v>703</v>
      </c>
      <c r="M84" s="813"/>
      <c r="N84" s="813"/>
      <c r="O84" s="786"/>
    </row>
    <row r="85" spans="1:16">
      <c r="A85" s="748">
        <f t="shared" si="16"/>
        <v>40</v>
      </c>
      <c r="B85" s="770">
        <v>392.4</v>
      </c>
      <c r="C85" s="781" t="s">
        <v>1037</v>
      </c>
      <c r="D85" s="771">
        <v>11</v>
      </c>
      <c r="E85" s="772" t="s">
        <v>1038</v>
      </c>
      <c r="F85" s="983">
        <v>2.36</v>
      </c>
      <c r="G85" s="803" t="s">
        <v>1031</v>
      </c>
      <c r="H85" s="848">
        <v>216441</v>
      </c>
      <c r="I85" s="848">
        <v>217544</v>
      </c>
      <c r="J85" s="794">
        <f t="shared" si="17"/>
        <v>-1103</v>
      </c>
      <c r="K85" s="811" t="s">
        <v>703</v>
      </c>
      <c r="M85" s="813"/>
      <c r="N85" s="813"/>
      <c r="O85" s="786"/>
    </row>
    <row r="86" spans="1:16">
      <c r="A86" s="748">
        <f t="shared" si="16"/>
        <v>41</v>
      </c>
      <c r="B86" s="770">
        <v>392.5</v>
      </c>
      <c r="C86" s="781" t="s">
        <v>1039</v>
      </c>
      <c r="D86" s="771">
        <v>15</v>
      </c>
      <c r="E86" s="772" t="s">
        <v>1040</v>
      </c>
      <c r="F86" s="983">
        <v>9.36</v>
      </c>
      <c r="G86" s="803" t="s">
        <v>1031</v>
      </c>
      <c r="H86" s="848">
        <v>3616256</v>
      </c>
      <c r="I86" s="848">
        <v>1864725</v>
      </c>
      <c r="J86" s="794">
        <f t="shared" si="17"/>
        <v>1751531</v>
      </c>
      <c r="K86" s="811" t="s">
        <v>703</v>
      </c>
      <c r="M86" s="813"/>
      <c r="N86" s="813"/>
      <c r="O86" s="786"/>
    </row>
    <row r="87" spans="1:16">
      <c r="A87" s="748">
        <f t="shared" si="16"/>
        <v>42</v>
      </c>
      <c r="B87" s="770">
        <v>392.6</v>
      </c>
      <c r="C87" s="781" t="s">
        <v>1041</v>
      </c>
      <c r="D87" s="771">
        <v>15</v>
      </c>
      <c r="E87" s="772" t="s">
        <v>1040</v>
      </c>
      <c r="F87" s="983">
        <v>6.24</v>
      </c>
      <c r="G87" s="803" t="s">
        <v>1031</v>
      </c>
      <c r="H87" s="848">
        <v>3942297</v>
      </c>
      <c r="I87" s="848">
        <v>3114232</v>
      </c>
      <c r="J87" s="794">
        <f t="shared" si="17"/>
        <v>828065</v>
      </c>
      <c r="K87" s="811" t="s">
        <v>703</v>
      </c>
      <c r="M87" s="813"/>
      <c r="N87" s="813"/>
      <c r="O87" s="786"/>
    </row>
    <row r="88" spans="1:16">
      <c r="A88" s="748">
        <f t="shared" si="16"/>
        <v>43</v>
      </c>
      <c r="B88" s="770">
        <v>392.7</v>
      </c>
      <c r="C88" s="781" t="s">
        <v>1259</v>
      </c>
      <c r="D88" s="771" t="s">
        <v>1031</v>
      </c>
      <c r="E88" s="771" t="s">
        <v>1031</v>
      </c>
      <c r="F88" s="983">
        <v>7.28</v>
      </c>
      <c r="G88" s="803" t="s">
        <v>1031</v>
      </c>
      <c r="H88" s="848">
        <v>13310723</v>
      </c>
      <c r="I88" s="848">
        <v>1876790</v>
      </c>
      <c r="J88" s="794">
        <f t="shared" si="17"/>
        <v>11433933</v>
      </c>
      <c r="K88" s="811" t="s">
        <v>703</v>
      </c>
      <c r="N88" s="749"/>
      <c r="O88" s="786"/>
    </row>
    <row r="89" spans="1:16">
      <c r="A89" s="748">
        <f t="shared" si="16"/>
        <v>44</v>
      </c>
      <c r="B89" s="770">
        <v>393</v>
      </c>
      <c r="C89" s="781" t="s">
        <v>1021</v>
      </c>
      <c r="D89" s="771">
        <v>15</v>
      </c>
      <c r="E89" s="772" t="s">
        <v>1017</v>
      </c>
      <c r="F89" s="983">
        <v>8.91</v>
      </c>
      <c r="G89" s="805">
        <v>7.4565000000000006E-2</v>
      </c>
      <c r="H89" s="848">
        <v>1111086</v>
      </c>
      <c r="I89" s="848">
        <v>314348</v>
      </c>
      <c r="J89" s="794">
        <f t="shared" si="17"/>
        <v>796738</v>
      </c>
      <c r="K89" s="794">
        <f t="shared" ref="K89:K91" si="20">IF(G89="N/A", 0, G89*H89)</f>
        <v>82848.127590000004</v>
      </c>
      <c r="N89" s="749"/>
      <c r="O89" s="786"/>
    </row>
    <row r="90" spans="1:16">
      <c r="A90" s="748">
        <f t="shared" si="16"/>
        <v>45</v>
      </c>
      <c r="B90" s="770">
        <v>394.1</v>
      </c>
      <c r="C90" s="781" t="s">
        <v>1042</v>
      </c>
      <c r="D90" s="771">
        <v>15</v>
      </c>
      <c r="E90" s="772" t="s">
        <v>1017</v>
      </c>
      <c r="F90" s="983">
        <v>3.5</v>
      </c>
      <c r="G90" s="805">
        <v>0.94045100000000004</v>
      </c>
      <c r="H90" s="848">
        <v>9001</v>
      </c>
      <c r="I90" s="848">
        <v>-16243</v>
      </c>
      <c r="J90" s="794">
        <f t="shared" si="17"/>
        <v>25244</v>
      </c>
      <c r="K90" s="794">
        <f t="shared" si="20"/>
        <v>8464.9994509999997</v>
      </c>
      <c r="N90" s="749"/>
      <c r="O90" s="786"/>
    </row>
    <row r="91" spans="1:16">
      <c r="A91" s="748">
        <f t="shared" si="16"/>
        <v>46</v>
      </c>
      <c r="B91" s="770">
        <v>394.2</v>
      </c>
      <c r="C91" s="781" t="s">
        <v>1043</v>
      </c>
      <c r="D91" s="771">
        <v>15</v>
      </c>
      <c r="E91" s="772" t="s">
        <v>1017</v>
      </c>
      <c r="F91" s="983">
        <v>14.02</v>
      </c>
      <c r="G91" s="805">
        <v>6.5409999999999996E-2</v>
      </c>
      <c r="H91" s="848">
        <v>799169</v>
      </c>
      <c r="I91" s="848">
        <v>94114</v>
      </c>
      <c r="J91" s="794">
        <f t="shared" si="17"/>
        <v>705055</v>
      </c>
      <c r="K91" s="794">
        <f t="shared" si="20"/>
        <v>52273.644289999997</v>
      </c>
      <c r="M91" s="813"/>
      <c r="N91" s="813"/>
      <c r="O91" s="786"/>
    </row>
    <row r="92" spans="1:16">
      <c r="A92" s="748">
        <f t="shared" si="16"/>
        <v>47</v>
      </c>
      <c r="B92" s="770">
        <v>394.3</v>
      </c>
      <c r="C92" s="781" t="s">
        <v>1044</v>
      </c>
      <c r="D92" s="771">
        <v>20</v>
      </c>
      <c r="E92" s="772" t="s">
        <v>1017</v>
      </c>
      <c r="F92" s="983">
        <v>8.33</v>
      </c>
      <c r="G92" s="803" t="s">
        <v>1031</v>
      </c>
      <c r="H92" s="848">
        <v>1377337</v>
      </c>
      <c r="I92" s="848">
        <v>647008</v>
      </c>
      <c r="J92" s="794">
        <f t="shared" si="17"/>
        <v>730329</v>
      </c>
      <c r="K92" s="811" t="s">
        <v>703</v>
      </c>
      <c r="M92" s="813"/>
      <c r="N92" s="813"/>
      <c r="O92" s="786"/>
    </row>
    <row r="93" spans="1:16">
      <c r="A93" s="748">
        <f t="shared" si="16"/>
        <v>48</v>
      </c>
      <c r="B93" s="770">
        <v>396</v>
      </c>
      <c r="C93" s="781" t="s">
        <v>1045</v>
      </c>
      <c r="D93" s="771">
        <v>11</v>
      </c>
      <c r="E93" s="772" t="s">
        <v>1038</v>
      </c>
      <c r="F93" s="983">
        <v>2.7</v>
      </c>
      <c r="G93" s="803" t="s">
        <v>1031</v>
      </c>
      <c r="H93" s="848">
        <v>143389</v>
      </c>
      <c r="I93" s="848">
        <v>141445</v>
      </c>
      <c r="J93" s="794">
        <f t="shared" si="17"/>
        <v>1944</v>
      </c>
      <c r="K93" s="811" t="s">
        <v>703</v>
      </c>
      <c r="M93" s="813"/>
      <c r="N93" s="813"/>
      <c r="O93" s="786"/>
    </row>
    <row r="94" spans="1:16">
      <c r="A94" s="748">
        <f t="shared" si="16"/>
        <v>49</v>
      </c>
      <c r="B94" s="770">
        <v>397</v>
      </c>
      <c r="C94" s="781" t="s">
        <v>1025</v>
      </c>
      <c r="D94" s="771">
        <v>20</v>
      </c>
      <c r="E94" s="772" t="s">
        <v>1026</v>
      </c>
      <c r="F94" s="983">
        <v>12.74</v>
      </c>
      <c r="G94" s="805">
        <v>3.9344999999999998E-2</v>
      </c>
      <c r="H94" s="848">
        <v>52249327</v>
      </c>
      <c r="I94" s="848">
        <v>15816564</v>
      </c>
      <c r="J94" s="794">
        <f t="shared" si="17"/>
        <v>36432763</v>
      </c>
      <c r="K94" s="811">
        <f t="shared" ref="K94:K95" si="21">IF(G94="N/A", 0, G94*H94)</f>
        <v>2055749.7708149999</v>
      </c>
      <c r="N94" s="749"/>
      <c r="O94" s="786"/>
    </row>
    <row r="95" spans="1:16">
      <c r="A95" s="748">
        <f t="shared" si="16"/>
        <v>50</v>
      </c>
      <c r="B95" s="770">
        <v>398</v>
      </c>
      <c r="C95" s="781" t="s">
        <v>1029</v>
      </c>
      <c r="D95" s="771">
        <v>15</v>
      </c>
      <c r="E95" s="772" t="s">
        <v>1017</v>
      </c>
      <c r="F95" s="983">
        <v>8.18</v>
      </c>
      <c r="G95" s="805">
        <v>6.9008E-2</v>
      </c>
      <c r="H95" s="848">
        <v>929083</v>
      </c>
      <c r="I95" s="848">
        <v>426874</v>
      </c>
      <c r="J95" s="794">
        <f t="shared" si="17"/>
        <v>502209</v>
      </c>
      <c r="K95" s="794">
        <f t="shared" si="21"/>
        <v>64114.159663999999</v>
      </c>
      <c r="N95" s="749"/>
      <c r="O95" s="786"/>
    </row>
    <row r="96" spans="1:16" ht="16.5" thickBot="1">
      <c r="A96" s="748">
        <f t="shared" si="16"/>
        <v>51</v>
      </c>
      <c r="B96" s="756"/>
      <c r="C96" s="776"/>
      <c r="D96" s="95"/>
      <c r="E96" s="95"/>
      <c r="F96" s="95"/>
      <c r="G96" s="95"/>
      <c r="H96" s="814">
        <f>SUM(H69:H95)</f>
        <v>675526923</v>
      </c>
      <c r="I96" s="814">
        <f>SUM(I69:I95)</f>
        <v>305786888</v>
      </c>
      <c r="J96" s="814">
        <f>SUM(J69:J95)</f>
        <v>369740035</v>
      </c>
      <c r="K96" s="814">
        <f>SUM(K69:K95)</f>
        <v>32943972.655892003</v>
      </c>
      <c r="N96" s="815"/>
      <c r="O96" s="791"/>
      <c r="P96" s="816"/>
    </row>
    <row r="97" spans="1:13" ht="15" customHeight="1" thickTop="1">
      <c r="B97" s="801"/>
      <c r="C97" s="802"/>
      <c r="D97" s="771"/>
      <c r="E97" s="771"/>
      <c r="F97" s="771"/>
      <c r="G97" s="803"/>
      <c r="H97" s="800"/>
      <c r="I97" s="800"/>
      <c r="J97" s="800"/>
      <c r="K97" s="800"/>
      <c r="L97" s="233" t="s">
        <v>1533</v>
      </c>
      <c r="M97" s="789"/>
    </row>
    <row r="98" spans="1:13" ht="15" customHeight="1">
      <c r="B98" s="1070" t="s">
        <v>681</v>
      </c>
      <c r="C98" s="1070"/>
      <c r="D98" s="1070"/>
      <c r="E98" s="1070"/>
      <c r="F98" s="1070"/>
      <c r="G98" s="1070"/>
      <c r="H98" s="1070"/>
      <c r="I98" s="1070"/>
      <c r="J98" s="1070"/>
      <c r="K98" s="1070"/>
      <c r="L98" s="1070"/>
      <c r="M98" s="789"/>
    </row>
    <row r="99" spans="1:13" ht="15" customHeight="1">
      <c r="B99" s="1070" t="s">
        <v>1559</v>
      </c>
      <c r="C99" s="1070"/>
      <c r="D99" s="1070"/>
      <c r="E99" s="1070"/>
      <c r="F99" s="1070"/>
      <c r="G99" s="1070"/>
      <c r="H99" s="1070"/>
      <c r="I99" s="1070"/>
      <c r="J99" s="1070"/>
      <c r="K99" s="1070"/>
      <c r="L99" s="1070"/>
      <c r="M99" s="789"/>
    </row>
    <row r="100" spans="1:13" ht="20.45" customHeight="1">
      <c r="B100" s="817"/>
      <c r="C100" s="818"/>
      <c r="D100" s="818"/>
      <c r="E100" s="818"/>
      <c r="F100" s="818"/>
      <c r="G100" s="818"/>
      <c r="H100" s="818"/>
      <c r="I100" s="818"/>
      <c r="J100" s="818"/>
      <c r="K100" s="818"/>
      <c r="L100" s="818"/>
    </row>
    <row r="101" spans="1:13" ht="20.45" customHeight="1">
      <c r="B101" s="817"/>
      <c r="C101" s="818"/>
      <c r="D101" s="819" t="s">
        <v>1524</v>
      </c>
      <c r="E101" s="819" t="s">
        <v>1524</v>
      </c>
      <c r="F101" s="819" t="str">
        <f>+E101</f>
        <v>Current Year</v>
      </c>
      <c r="G101" s="819" t="s">
        <v>1526</v>
      </c>
      <c r="H101" s="819" t="s">
        <v>1524</v>
      </c>
      <c r="I101" s="243" t="s">
        <v>1536</v>
      </c>
      <c r="J101" s="243" t="s">
        <v>1536</v>
      </c>
      <c r="K101" s="243" t="s">
        <v>1524</v>
      </c>
      <c r="L101" s="243" t="s">
        <v>1524</v>
      </c>
    </row>
    <row r="102" spans="1:13" ht="19.149999999999999" customHeight="1">
      <c r="B102" s="733"/>
      <c r="D102" s="819" t="s">
        <v>1569</v>
      </c>
      <c r="E102" s="819" t="s">
        <v>1570</v>
      </c>
      <c r="F102" s="819" t="s">
        <v>1523</v>
      </c>
      <c r="G102" s="819" t="s">
        <v>1527</v>
      </c>
      <c r="H102" s="819" t="s">
        <v>1535</v>
      </c>
      <c r="I102" s="243" t="s">
        <v>1537</v>
      </c>
      <c r="J102" s="243" t="s">
        <v>1537</v>
      </c>
      <c r="K102" s="243" t="s">
        <v>1537</v>
      </c>
      <c r="L102" s="243" t="s">
        <v>1537</v>
      </c>
      <c r="M102" s="820"/>
    </row>
    <row r="103" spans="1:13" ht="19.149999999999999" customHeight="1">
      <c r="B103" s="16"/>
      <c r="C103" s="16"/>
      <c r="D103" s="819" t="s">
        <v>1525</v>
      </c>
      <c r="E103" s="819" t="s">
        <v>1578</v>
      </c>
      <c r="F103" s="17" t="s">
        <v>1538</v>
      </c>
      <c r="G103" s="819"/>
      <c r="H103" s="819" t="s">
        <v>1527</v>
      </c>
      <c r="I103" s="243" t="s">
        <v>1523</v>
      </c>
      <c r="J103" s="243" t="s">
        <v>1523</v>
      </c>
      <c r="K103" s="243" t="s">
        <v>1523</v>
      </c>
      <c r="L103" s="243" t="s">
        <v>1523</v>
      </c>
      <c r="M103" s="820"/>
    </row>
    <row r="104" spans="1:13" ht="19.149999999999999" customHeight="1">
      <c r="B104" s="16"/>
      <c r="C104" s="16"/>
      <c r="D104" s="17" t="s">
        <v>1538</v>
      </c>
      <c r="E104" s="17" t="s">
        <v>1538</v>
      </c>
      <c r="G104" s="16"/>
      <c r="H104" s="821"/>
      <c r="I104" s="17" t="s">
        <v>1538</v>
      </c>
      <c r="J104" s="17" t="s">
        <v>17</v>
      </c>
      <c r="K104" s="17" t="s">
        <v>1538</v>
      </c>
      <c r="L104" s="17" t="s">
        <v>17</v>
      </c>
      <c r="M104" s="820"/>
    </row>
    <row r="105" spans="1:13" ht="19.149999999999999" customHeight="1">
      <c r="B105" s="753"/>
      <c r="D105" s="753" t="s">
        <v>985</v>
      </c>
      <c r="E105" s="753" t="s">
        <v>986</v>
      </c>
      <c r="F105" s="822" t="s">
        <v>1539</v>
      </c>
      <c r="G105" s="243" t="s">
        <v>988</v>
      </c>
      <c r="H105" s="823" t="s">
        <v>1540</v>
      </c>
      <c r="I105" s="755" t="s">
        <v>990</v>
      </c>
      <c r="J105" s="243" t="s">
        <v>991</v>
      </c>
      <c r="K105" s="243" t="s">
        <v>1541</v>
      </c>
      <c r="L105" s="243" t="s">
        <v>1542</v>
      </c>
      <c r="M105" s="820"/>
    </row>
    <row r="106" spans="1:13" ht="19.149999999999999" customHeight="1">
      <c r="B106" s="16"/>
      <c r="C106" s="16"/>
      <c r="E106" s="16"/>
      <c r="F106" s="16"/>
      <c r="G106" s="16"/>
      <c r="H106" s="821"/>
      <c r="L106" s="820"/>
      <c r="M106" s="820"/>
    </row>
    <row r="107" spans="1:13" ht="19.149999999999999" customHeight="1">
      <c r="B107" s="16"/>
      <c r="C107" s="16"/>
      <c r="E107" s="16"/>
      <c r="F107" s="16"/>
      <c r="G107" s="16"/>
      <c r="H107" s="821"/>
      <c r="L107" s="820"/>
      <c r="M107" s="820"/>
    </row>
    <row r="108" spans="1:13" ht="19.149999999999999" customHeight="1">
      <c r="A108" s="748">
        <f>A106+1</f>
        <v>1</v>
      </c>
      <c r="B108" s="824" t="s">
        <v>17</v>
      </c>
      <c r="C108" s="16"/>
      <c r="D108" s="821">
        <f>'8 - Depreciation Rates'!K23</f>
        <v>26801530.618424002</v>
      </c>
      <c r="E108" s="848">
        <v>26802058</v>
      </c>
      <c r="F108" s="750">
        <f>D108-E108</f>
        <v>-527.38157599791884</v>
      </c>
      <c r="G108" s="825">
        <v>1</v>
      </c>
      <c r="H108" s="233">
        <f>F108*G108</f>
        <v>-527.38157599791884</v>
      </c>
      <c r="I108" s="985">
        <v>-1079.9756799228489</v>
      </c>
      <c r="J108" s="985">
        <v>-1079.9756799228489</v>
      </c>
      <c r="K108" s="750">
        <f>I108+F108</f>
        <v>-1607.3572559207678</v>
      </c>
      <c r="L108" s="826">
        <f>H108+J108</f>
        <v>-1607.3572559207678</v>
      </c>
      <c r="M108" s="820"/>
    </row>
    <row r="109" spans="1:13" ht="19.149999999999999" customHeight="1">
      <c r="A109" s="748">
        <f>A108+1</f>
        <v>2</v>
      </c>
      <c r="B109" s="824" t="s">
        <v>902</v>
      </c>
      <c r="D109" s="821">
        <f>'8 - Depreciation Rates'!K38</f>
        <v>18971737.725441996</v>
      </c>
      <c r="E109" s="848">
        <v>18971748</v>
      </c>
      <c r="F109" s="750">
        <f>D109-E109</f>
        <v>-10.274558003991842</v>
      </c>
      <c r="G109" s="825">
        <f>'Attachment H-7'!I197</f>
        <v>9.4490855863003556E-2</v>
      </c>
      <c r="H109" s="233">
        <f>F109*G109</f>
        <v>-0.97085177941126266</v>
      </c>
      <c r="I109" s="985">
        <v>53.938422372564673</v>
      </c>
      <c r="J109" s="985">
        <v>5.1757629037741388</v>
      </c>
      <c r="K109" s="750">
        <f t="shared" ref="K109:K113" si="22">I109+F109</f>
        <v>43.663864368572831</v>
      </c>
      <c r="L109" s="826">
        <f t="shared" ref="L109:L113" si="23">H109+J109</f>
        <v>4.2049111243628765</v>
      </c>
      <c r="M109" s="820"/>
    </row>
    <row r="110" spans="1:13" ht="19.149999999999999" customHeight="1">
      <c r="A110" s="748">
        <f>A109+1</f>
        <v>3</v>
      </c>
      <c r="B110" s="824" t="s">
        <v>1510</v>
      </c>
      <c r="D110" s="821">
        <f>'8 - Depreciation Rates'!K96</f>
        <v>32943972.655892003</v>
      </c>
      <c r="E110" s="848">
        <v>32943908</v>
      </c>
      <c r="F110" s="750">
        <f>D110-E110</f>
        <v>64.655892003327608</v>
      </c>
      <c r="G110" s="825">
        <f>G109</f>
        <v>9.4490855863003556E-2</v>
      </c>
      <c r="H110" s="233">
        <f>F110*G110</f>
        <v>6.1093905719803532</v>
      </c>
      <c r="I110" s="985">
        <v>-218.62728599086404</v>
      </c>
      <c r="J110" s="985">
        <v>-20.954977351006853</v>
      </c>
      <c r="K110" s="750">
        <f t="shared" si="22"/>
        <v>-153.97139398753643</v>
      </c>
      <c r="L110" s="826">
        <f t="shared" si="23"/>
        <v>-14.845586779026501</v>
      </c>
      <c r="M110" s="820"/>
    </row>
    <row r="111" spans="1:13" ht="19.149999999999999" customHeight="1">
      <c r="A111" s="748">
        <f>A110+1</f>
        <v>4</v>
      </c>
      <c r="B111" s="824" t="s">
        <v>1528</v>
      </c>
      <c r="D111" s="821">
        <f>'8 - Depreciation Rates'!K52</f>
        <v>5120743.4595320001</v>
      </c>
      <c r="E111" s="821">
        <f>'4D - Intangible Pnt'!D105</f>
        <v>5120737.3558400003</v>
      </c>
      <c r="F111" s="750">
        <f t="shared" ref="F111:F113" si="24">D111-E111</f>
        <v>6.1036919998005033</v>
      </c>
      <c r="G111" s="825">
        <f>G108</f>
        <v>1</v>
      </c>
      <c r="H111" s="233">
        <f t="shared" ref="H111:H113" si="25">F111*G111</f>
        <v>6.1036919998005033</v>
      </c>
      <c r="I111" s="985">
        <v>10.238174519967288</v>
      </c>
      <c r="J111" s="985">
        <v>10.238174519967288</v>
      </c>
      <c r="K111" s="750">
        <f t="shared" si="22"/>
        <v>16.341866519767791</v>
      </c>
      <c r="L111" s="826">
        <f t="shared" si="23"/>
        <v>16.341866519767791</v>
      </c>
      <c r="M111" s="820"/>
    </row>
    <row r="112" spans="1:13" ht="19.149999999999999" customHeight="1">
      <c r="A112" s="748">
        <f t="shared" ref="A112:A114" si="26">A111+1</f>
        <v>5</v>
      </c>
      <c r="B112" s="824" t="s">
        <v>1529</v>
      </c>
      <c r="D112" s="821">
        <f>+'8 - Depreciation Rates'!K62</f>
        <v>4026334.7239470002</v>
      </c>
      <c r="E112" s="821">
        <f>'4D - Intangible Pnt'!F105</f>
        <v>4026332.32</v>
      </c>
      <c r="F112" s="750">
        <f t="shared" si="24"/>
        <v>2.4039470003917813</v>
      </c>
      <c r="G112" s="825">
        <f>G110</f>
        <v>9.4490855863003556E-2</v>
      </c>
      <c r="H112" s="233">
        <f t="shared" si="25"/>
        <v>0.22715100951631956</v>
      </c>
      <c r="I112" s="985">
        <v>-6.7984556807205081</v>
      </c>
      <c r="J112" s="985">
        <v>-0.71630147341920725</v>
      </c>
      <c r="K112" s="750">
        <f t="shared" si="22"/>
        <v>-4.3945086803287268</v>
      </c>
      <c r="L112" s="826">
        <f t="shared" si="23"/>
        <v>-0.48915046390288769</v>
      </c>
      <c r="M112" s="820"/>
    </row>
    <row r="113" spans="1:13" ht="19.149999999999999" customHeight="1">
      <c r="A113" s="748">
        <f t="shared" si="26"/>
        <v>6</v>
      </c>
      <c r="B113" s="824" t="s">
        <v>1530</v>
      </c>
      <c r="D113" s="821">
        <f>+'8 - Depreciation Rates'!K66</f>
        <v>11053896.984160002</v>
      </c>
      <c r="E113" s="821">
        <f>'4D - Intangible Pnt'!E105</f>
        <v>11053896.984160002</v>
      </c>
      <c r="F113" s="750">
        <f t="shared" si="24"/>
        <v>0</v>
      </c>
      <c r="G113" s="825">
        <v>0</v>
      </c>
      <c r="H113" s="233">
        <f t="shared" si="25"/>
        <v>0</v>
      </c>
      <c r="I113" s="808">
        <v>0</v>
      </c>
      <c r="J113" s="808">
        <v>0</v>
      </c>
      <c r="K113" s="750">
        <f t="shared" si="22"/>
        <v>0</v>
      </c>
      <c r="L113" s="826">
        <f t="shared" si="23"/>
        <v>0</v>
      </c>
      <c r="M113" s="820"/>
    </row>
    <row r="114" spans="1:13" ht="19.149999999999999" customHeight="1">
      <c r="A114" s="748">
        <f t="shared" si="26"/>
        <v>7</v>
      </c>
      <c r="B114" s="827"/>
      <c r="D114" s="541"/>
      <c r="I114" s="825"/>
      <c r="J114" s="821"/>
      <c r="K114" s="821"/>
      <c r="L114" s="820"/>
      <c r="M114" s="820"/>
    </row>
    <row r="115" spans="1:13" ht="19.149999999999999" customHeight="1">
      <c r="A115" s="748">
        <f>A114+1</f>
        <v>8</v>
      </c>
      <c r="B115" s="828" t="s">
        <v>1543</v>
      </c>
      <c r="D115" s="541"/>
      <c r="H115" s="16"/>
      <c r="I115" s="825"/>
      <c r="J115" s="16"/>
      <c r="K115" s="821"/>
      <c r="L115" s="820"/>
      <c r="M115" s="820"/>
    </row>
    <row r="116" spans="1:13" ht="19.149999999999999" customHeight="1">
      <c r="B116" s="828"/>
      <c r="D116" s="541"/>
      <c r="E116" s="749" t="s">
        <v>1544</v>
      </c>
      <c r="F116" s="17" t="s">
        <v>1546</v>
      </c>
      <c r="G116" s="17" t="s">
        <v>1548</v>
      </c>
      <c r="H116" s="819" t="s">
        <v>1526</v>
      </c>
      <c r="I116" s="17" t="s">
        <v>1548</v>
      </c>
      <c r="J116" s="16"/>
      <c r="K116" s="821"/>
      <c r="L116" s="820"/>
      <c r="M116" s="820"/>
    </row>
    <row r="117" spans="1:13" ht="19.149999999999999" customHeight="1">
      <c r="B117" s="828"/>
      <c r="D117" s="541"/>
      <c r="E117" s="749" t="s">
        <v>1571</v>
      </c>
      <c r="F117" s="17" t="s">
        <v>1547</v>
      </c>
      <c r="G117" s="17" t="s">
        <v>1572</v>
      </c>
      <c r="H117" s="819" t="s">
        <v>1527</v>
      </c>
      <c r="I117" s="17" t="s">
        <v>1572</v>
      </c>
      <c r="J117" s="16"/>
      <c r="K117" s="821"/>
      <c r="L117" s="820"/>
      <c r="M117" s="820"/>
    </row>
    <row r="118" spans="1:13" ht="19.149999999999999" customHeight="1">
      <c r="A118" s="748">
        <f>A115+1</f>
        <v>9</v>
      </c>
      <c r="B118" s="829"/>
      <c r="C118" s="829"/>
      <c r="D118" s="829"/>
      <c r="E118" s="830" t="s">
        <v>1538</v>
      </c>
      <c r="F118" s="830" t="s">
        <v>1538</v>
      </c>
      <c r="G118" s="830" t="s">
        <v>1538</v>
      </c>
      <c r="I118" s="830" t="s">
        <v>17</v>
      </c>
      <c r="J118" s="16"/>
      <c r="K118" s="821"/>
      <c r="L118" s="820"/>
      <c r="M118" s="820"/>
    </row>
    <row r="119" spans="1:13" ht="19.149999999999999" customHeight="1">
      <c r="B119" s="829"/>
      <c r="C119" s="829"/>
      <c r="D119" s="829"/>
      <c r="E119" s="830"/>
      <c r="F119" s="830"/>
      <c r="G119" s="831"/>
      <c r="I119" s="831"/>
      <c r="J119" s="16"/>
      <c r="K119" s="821"/>
      <c r="L119" s="820"/>
      <c r="M119" s="820"/>
    </row>
    <row r="120" spans="1:13" ht="19.149999999999999" customHeight="1">
      <c r="B120" s="829"/>
      <c r="C120" s="829"/>
      <c r="D120" s="829"/>
      <c r="E120" s="830"/>
      <c r="F120" s="830"/>
      <c r="G120" s="831"/>
      <c r="I120" s="831"/>
      <c r="J120" s="16"/>
      <c r="K120" s="821"/>
      <c r="L120" s="820"/>
      <c r="M120" s="820"/>
    </row>
    <row r="121" spans="1:13" ht="19.149999999999999" customHeight="1">
      <c r="A121" s="748">
        <f>A118+1</f>
        <v>10</v>
      </c>
      <c r="B121" s="824" t="s">
        <v>17</v>
      </c>
      <c r="D121" s="829"/>
      <c r="E121" s="832">
        <f>'4- Rate Base'!J24</f>
        <v>535111386.82768154</v>
      </c>
      <c r="F121" s="785">
        <f>(I108+K108)/2</f>
        <v>-1343.6664679218084</v>
      </c>
      <c r="G121" s="785">
        <f>E121-F121</f>
        <v>535112730.49414945</v>
      </c>
      <c r="H121" s="833">
        <f>G108</f>
        <v>1</v>
      </c>
      <c r="I121" s="785">
        <f>G121*H121</f>
        <v>535112730.49414945</v>
      </c>
      <c r="J121" s="16"/>
      <c r="K121" s="821"/>
      <c r="L121" s="820"/>
      <c r="M121" s="820"/>
    </row>
    <row r="122" spans="1:13" ht="19.149999999999999" customHeight="1">
      <c r="A122" s="748">
        <f t="shared" ref="A122:A135" si="27">A121+1</f>
        <v>11</v>
      </c>
      <c r="B122" s="824" t="s">
        <v>902</v>
      </c>
      <c r="D122" s="829"/>
      <c r="E122" s="834">
        <f>'4- Rate Base'!K24</f>
        <v>92316119.439343467</v>
      </c>
      <c r="F122" s="785">
        <f t="shared" ref="F122:F126" si="28">(I109+K109)/2</f>
        <v>48.801143370568752</v>
      </c>
      <c r="G122" s="785">
        <f t="shared" ref="G122:G126" si="29">E122-F122</f>
        <v>92316070.638200104</v>
      </c>
      <c r="H122" s="833">
        <f t="shared" ref="H122:H125" si="30">G109</f>
        <v>9.4490855863003556E-2</v>
      </c>
      <c r="I122" s="785">
        <f t="shared" ref="I122:I126" si="31">G122*H122</f>
        <v>8723024.5245130211</v>
      </c>
      <c r="J122" s="821"/>
      <c r="K122" s="821"/>
      <c r="L122" s="818"/>
    </row>
    <row r="123" spans="1:13">
      <c r="A123" s="748">
        <f t="shared" si="27"/>
        <v>12</v>
      </c>
      <c r="B123" s="824" t="s">
        <v>1510</v>
      </c>
      <c r="D123" s="829"/>
      <c r="E123" s="834">
        <f>'4- Rate Base'!L24</f>
        <v>321189338.7590223</v>
      </c>
      <c r="F123" s="785">
        <f t="shared" si="28"/>
        <v>-186.29933998920023</v>
      </c>
      <c r="G123" s="785">
        <f t="shared" si="29"/>
        <v>321189525.05836231</v>
      </c>
      <c r="H123" s="833">
        <f t="shared" si="30"/>
        <v>9.4490855863003556E-2</v>
      </c>
      <c r="I123" s="785">
        <f t="shared" si="31"/>
        <v>30349473.116996281</v>
      </c>
      <c r="J123" s="821"/>
      <c r="K123" s="821"/>
    </row>
    <row r="124" spans="1:13">
      <c r="A124" s="748">
        <f t="shared" si="27"/>
        <v>13</v>
      </c>
      <c r="B124" s="824" t="s">
        <v>1528</v>
      </c>
      <c r="D124" s="829"/>
      <c r="E124" s="834">
        <f>'4D - Intangible Pnt'!Q52</f>
        <v>14908718.425135486</v>
      </c>
      <c r="F124" s="785">
        <f t="shared" si="28"/>
        <v>13.290020519867539</v>
      </c>
      <c r="G124" s="785">
        <f t="shared" si="29"/>
        <v>14908705.135114966</v>
      </c>
      <c r="H124" s="833">
        <f t="shared" si="30"/>
        <v>1</v>
      </c>
      <c r="I124" s="785">
        <f t="shared" si="31"/>
        <v>14908705.135114966</v>
      </c>
      <c r="J124" s="16"/>
      <c r="K124" s="821"/>
    </row>
    <row r="125" spans="1:13">
      <c r="A125" s="748">
        <f t="shared" si="27"/>
        <v>14</v>
      </c>
      <c r="B125" s="824" t="s">
        <v>1529</v>
      </c>
      <c r="D125" s="541"/>
      <c r="E125" s="834">
        <f>'4D - Intangible Pnt'!S52</f>
        <v>13045516.226901459</v>
      </c>
      <c r="F125" s="785">
        <f t="shared" si="28"/>
        <v>-5.5964821805246174</v>
      </c>
      <c r="G125" s="785">
        <f t="shared" si="29"/>
        <v>13045521.823383639</v>
      </c>
      <c r="H125" s="833">
        <f t="shared" si="30"/>
        <v>9.4490855863003556E-2</v>
      </c>
      <c r="I125" s="785">
        <f t="shared" si="31"/>
        <v>1232682.5222710108</v>
      </c>
      <c r="J125" s="16"/>
      <c r="K125" s="821"/>
    </row>
    <row r="126" spans="1:13">
      <c r="A126" s="748">
        <f t="shared" si="27"/>
        <v>15</v>
      </c>
      <c r="B126" s="824" t="s">
        <v>1530</v>
      </c>
      <c r="D126" s="16"/>
      <c r="E126" s="834">
        <f>'4D - Intangible Pnt'!R52</f>
        <v>111269429.0733875</v>
      </c>
      <c r="F126" s="832">
        <f t="shared" si="28"/>
        <v>0</v>
      </c>
      <c r="G126" s="785">
        <f t="shared" si="29"/>
        <v>111269429.0733875</v>
      </c>
      <c r="H126" s="833">
        <v>0</v>
      </c>
      <c r="I126" s="785">
        <f t="shared" si="31"/>
        <v>0</v>
      </c>
      <c r="J126" s="16"/>
      <c r="K126" s="821"/>
    </row>
    <row r="127" spans="1:13">
      <c r="A127" s="748">
        <f t="shared" si="27"/>
        <v>16</v>
      </c>
      <c r="B127" s="824" t="s">
        <v>1545</v>
      </c>
      <c r="D127" s="16"/>
      <c r="E127" s="834">
        <f>SUM(E124:E126)</f>
        <v>139223663.72542444</v>
      </c>
      <c r="F127" s="834">
        <f>SUM(F124:F126)</f>
        <v>7.693538339342922</v>
      </c>
      <c r="G127" s="834">
        <f>SUM(G124:G126)</f>
        <v>139223656.0318861</v>
      </c>
      <c r="I127" s="834">
        <f>SUM(I124:I126)</f>
        <v>16141387.657385977</v>
      </c>
      <c r="J127" s="821"/>
      <c r="K127" s="16"/>
    </row>
    <row r="128" spans="1:13">
      <c r="A128" s="748">
        <f t="shared" si="27"/>
        <v>17</v>
      </c>
      <c r="B128" s="827"/>
      <c r="D128" s="541"/>
      <c r="I128" s="825"/>
      <c r="J128" s="821"/>
      <c r="K128" s="16"/>
    </row>
    <row r="129" spans="1:17">
      <c r="A129" s="748">
        <f t="shared" si="27"/>
        <v>18</v>
      </c>
      <c r="B129" s="827"/>
      <c r="D129" s="541"/>
      <c r="I129" s="835"/>
      <c r="J129" s="821"/>
      <c r="K129" s="16"/>
    </row>
    <row r="130" spans="1:17">
      <c r="A130" s="748">
        <f t="shared" si="27"/>
        <v>19</v>
      </c>
      <c r="B130" s="827"/>
      <c r="D130" s="541"/>
      <c r="H130" s="821"/>
      <c r="I130" s="16"/>
      <c r="J130" s="16"/>
      <c r="K130" s="821"/>
    </row>
    <row r="131" spans="1:17">
      <c r="A131" s="748">
        <f t="shared" si="27"/>
        <v>20</v>
      </c>
      <c r="B131" s="827"/>
      <c r="D131" s="541"/>
      <c r="H131" s="16"/>
      <c r="I131" s="16"/>
      <c r="J131" s="16"/>
      <c r="K131" s="821"/>
    </row>
    <row r="132" spans="1:17">
      <c r="A132" s="748">
        <f t="shared" si="27"/>
        <v>21</v>
      </c>
      <c r="B132" s="16"/>
      <c r="C132" s="16"/>
      <c r="H132" s="16"/>
      <c r="I132" s="16"/>
      <c r="J132" s="16"/>
      <c r="K132" s="821"/>
    </row>
    <row r="133" spans="1:17">
      <c r="A133" s="748">
        <f t="shared" si="27"/>
        <v>22</v>
      </c>
      <c r="B133" s="16"/>
      <c r="C133" s="16"/>
      <c r="H133" s="16"/>
      <c r="I133" s="16"/>
      <c r="J133" s="16"/>
      <c r="K133" s="821"/>
    </row>
    <row r="134" spans="1:17">
      <c r="A134" s="748">
        <f t="shared" si="27"/>
        <v>23</v>
      </c>
      <c r="B134" s="16"/>
      <c r="C134" s="16"/>
      <c r="H134" s="16"/>
      <c r="I134" s="16"/>
      <c r="J134" s="16"/>
      <c r="K134" s="821"/>
    </row>
    <row r="135" spans="1:17">
      <c r="A135" s="748">
        <f t="shared" si="27"/>
        <v>24</v>
      </c>
      <c r="B135" s="16"/>
      <c r="C135" s="16"/>
    </row>
    <row r="137" spans="1:17">
      <c r="B137" s="756"/>
      <c r="C137" s="776"/>
      <c r="D137" s="95"/>
      <c r="E137" s="95"/>
      <c r="F137" s="95"/>
      <c r="G137" s="95"/>
      <c r="H137" s="95"/>
      <c r="I137" s="784"/>
      <c r="J137" s="784"/>
      <c r="K137" s="784"/>
      <c r="L137" s="233" t="s">
        <v>1534</v>
      </c>
      <c r="O137" s="836"/>
      <c r="P137" s="837"/>
      <c r="Q137" s="838"/>
    </row>
    <row r="138" spans="1:17" ht="16.5" thickBot="1">
      <c r="B138" s="839" t="s">
        <v>182</v>
      </c>
      <c r="C138" s="840"/>
      <c r="D138" s="95"/>
      <c r="E138" s="95"/>
      <c r="F138" s="95"/>
      <c r="G138" s="95"/>
      <c r="H138" s="95"/>
      <c r="I138" s="784"/>
      <c r="J138" s="784"/>
      <c r="K138" s="784"/>
      <c r="L138" s="784"/>
      <c r="P138" s="816"/>
      <c r="Q138" s="797"/>
    </row>
    <row r="139" spans="1:17" s="844" customFormat="1" ht="18" customHeight="1">
      <c r="A139" s="841"/>
      <c r="B139" s="842">
        <v>1</v>
      </c>
      <c r="C139" s="843" t="s">
        <v>1573</v>
      </c>
      <c r="I139" s="845"/>
      <c r="J139" s="845"/>
      <c r="K139" s="845"/>
      <c r="L139" s="845"/>
      <c r="N139" s="846"/>
      <c r="O139" s="847"/>
    </row>
    <row r="140" spans="1:17" s="844" customFormat="1" ht="52.15" customHeight="1">
      <c r="A140" s="841"/>
      <c r="B140" s="842">
        <v>2</v>
      </c>
      <c r="C140" s="1074" t="s">
        <v>1268</v>
      </c>
      <c r="D140" s="1074"/>
      <c r="E140" s="1074"/>
      <c r="F140" s="1074"/>
      <c r="G140" s="1074"/>
      <c r="H140" s="1074"/>
      <c r="I140" s="1074"/>
      <c r="J140" s="1074"/>
      <c r="K140" s="1074"/>
      <c r="L140" s="1074"/>
      <c r="N140" s="846"/>
      <c r="O140" s="847"/>
    </row>
    <row r="141" spans="1:17" s="844" customFormat="1" ht="19.149999999999999" customHeight="1">
      <c r="A141" s="841"/>
      <c r="B141" s="842">
        <v>3</v>
      </c>
      <c r="C141" s="1072" t="s">
        <v>1563</v>
      </c>
      <c r="D141" s="1072"/>
      <c r="E141" s="1072"/>
      <c r="F141" s="1072"/>
      <c r="G141" s="1072"/>
      <c r="H141" s="1072"/>
      <c r="I141" s="1072"/>
      <c r="J141" s="1072"/>
      <c r="K141" s="1072"/>
      <c r="L141" s="1072"/>
      <c r="N141" s="846"/>
      <c r="O141" s="847"/>
    </row>
    <row r="142" spans="1:17" s="844" customFormat="1">
      <c r="A142" s="841"/>
      <c r="B142" s="842">
        <v>4</v>
      </c>
      <c r="C142" s="843" t="s">
        <v>1124</v>
      </c>
      <c r="I142" s="845"/>
      <c r="J142" s="845"/>
      <c r="K142" s="845"/>
      <c r="L142" s="845"/>
      <c r="N142" s="846"/>
      <c r="O142" s="847"/>
    </row>
    <row r="143" spans="1:17" s="844" customFormat="1">
      <c r="A143" s="841"/>
      <c r="B143" s="842">
        <v>5</v>
      </c>
      <c r="C143" s="843" t="s">
        <v>1052</v>
      </c>
      <c r="I143" s="845"/>
      <c r="J143" s="845"/>
      <c r="K143" s="845"/>
      <c r="L143" s="845"/>
      <c r="N143" s="846"/>
      <c r="O143" s="847"/>
    </row>
    <row r="144" spans="1:17" s="844" customFormat="1">
      <c r="A144" s="841"/>
      <c r="B144" s="842">
        <v>6</v>
      </c>
      <c r="C144" s="1073" t="s">
        <v>369</v>
      </c>
      <c r="D144" s="1073"/>
      <c r="E144" s="1073"/>
      <c r="F144" s="1073"/>
      <c r="G144" s="1073"/>
      <c r="H144" s="1073"/>
      <c r="I144" s="1073"/>
      <c r="J144" s="1073"/>
      <c r="K144" s="1073"/>
      <c r="L144" s="1073"/>
      <c r="N144" s="846"/>
      <c r="O144" s="847"/>
    </row>
    <row r="145" spans="1:15" s="844" customFormat="1" ht="15.75" customHeight="1">
      <c r="A145" s="841"/>
      <c r="B145" s="842">
        <v>7</v>
      </c>
      <c r="C145" s="1073" t="s">
        <v>369</v>
      </c>
      <c r="D145" s="1073"/>
      <c r="E145" s="1073"/>
      <c r="F145" s="1073"/>
      <c r="G145" s="1073"/>
      <c r="H145" s="1073"/>
      <c r="I145" s="1073"/>
      <c r="J145" s="1073"/>
      <c r="K145" s="1073"/>
      <c r="L145" s="1073"/>
      <c r="N145" s="846"/>
      <c r="O145" s="847"/>
    </row>
    <row r="146" spans="1:15" s="844" customFormat="1">
      <c r="A146" s="841"/>
      <c r="B146" s="842">
        <v>8</v>
      </c>
      <c r="C146" s="843" t="s">
        <v>1046</v>
      </c>
      <c r="I146" s="845"/>
      <c r="J146" s="845"/>
      <c r="K146" s="845"/>
      <c r="L146" s="845"/>
      <c r="N146" s="846"/>
      <c r="O146" s="847"/>
    </row>
    <row r="147" spans="1:15">
      <c r="B147" s="842">
        <v>9</v>
      </c>
      <c r="C147" s="843" t="s">
        <v>1053</v>
      </c>
      <c r="D147" s="844"/>
      <c r="E147" s="844"/>
      <c r="F147" s="844"/>
      <c r="G147" s="844"/>
      <c r="H147" s="844"/>
      <c r="I147" s="845"/>
      <c r="J147" s="845"/>
      <c r="K147" s="845"/>
      <c r="L147" s="845"/>
      <c r="M147" s="844"/>
    </row>
    <row r="148" spans="1:15" ht="48" customHeight="1">
      <c r="B148" s="817">
        <v>10</v>
      </c>
      <c r="C148" s="1069" t="s">
        <v>1575</v>
      </c>
      <c r="D148" s="1069"/>
      <c r="E148" s="1069"/>
      <c r="F148" s="1069"/>
      <c r="G148" s="1069"/>
      <c r="H148" s="1069"/>
      <c r="I148" s="1069"/>
      <c r="J148" s="1069"/>
      <c r="K148" s="1069"/>
      <c r="L148" s="1069"/>
      <c r="M148" s="820"/>
    </row>
    <row r="149" spans="1:15" ht="14.25" customHeight="1">
      <c r="B149" s="817">
        <v>11</v>
      </c>
      <c r="C149" s="1071" t="s">
        <v>1522</v>
      </c>
      <c r="D149" s="1071"/>
      <c r="E149" s="1071"/>
      <c r="F149" s="1071"/>
      <c r="G149" s="1071"/>
      <c r="H149" s="1071"/>
      <c r="I149" s="1071"/>
      <c r="J149" s="1071"/>
      <c r="K149" s="1071"/>
      <c r="L149" s="1071"/>
    </row>
  </sheetData>
  <sheetProtection algorithmName="SHA-512" hashValue="b3lytVt05gLhFJ0EzqUE1/skp3V3gz0cwZCHH2WIsWAtYSMQADtKI3Ec+7Yj4zD6WYTUbHH/U0UyziecJhdecQ==" saltValue="v93i5uojoUdUSB4tbOJJiw==" spinCount="100000" sheet="1" objects="1" scenarios="1"/>
  <mergeCells count="13">
    <mergeCell ref="B2:L2"/>
    <mergeCell ref="B3:L3"/>
    <mergeCell ref="C141:L141"/>
    <mergeCell ref="C145:L145"/>
    <mergeCell ref="C140:L140"/>
    <mergeCell ref="C144:L144"/>
    <mergeCell ref="H13:J13"/>
    <mergeCell ref="C148:L148"/>
    <mergeCell ref="B40:L40"/>
    <mergeCell ref="B41:L41"/>
    <mergeCell ref="C149:L149"/>
    <mergeCell ref="B98:L98"/>
    <mergeCell ref="B99:L99"/>
  </mergeCells>
  <pageMargins left="0.5" right="0.5" top="0.5" bottom="0.5" header="0.05" footer="0.05"/>
  <pageSetup paperSize="17" scale="41" fitToHeight="0" orientation="landscape" r:id="rId1"/>
  <rowBreaks count="3" manualBreakCount="3">
    <brk id="38" max="11" man="1"/>
    <brk id="96" max="11" man="1"/>
    <brk id="136"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57"/>
  <sheetViews>
    <sheetView zoomScale="70" zoomScaleNormal="70" workbookViewId="0">
      <selection activeCell="C48" sqref="C48"/>
    </sheetView>
  </sheetViews>
  <sheetFormatPr defaultColWidth="8.77734375" defaultRowHeight="15.75"/>
  <cols>
    <col min="1" max="1" width="4.5546875" style="748" customWidth="1"/>
    <col min="2" max="2" width="41.77734375" style="16" customWidth="1"/>
    <col min="3" max="3" width="18.109375" style="16" customWidth="1"/>
    <col min="4" max="14" width="11.109375" style="16" bestFit="1" customWidth="1"/>
    <col min="15" max="15" width="12" style="16" bestFit="1" customWidth="1"/>
    <col min="16" max="16" width="14.6640625" style="16" customWidth="1"/>
    <col min="17" max="17" width="11.5546875" style="16" bestFit="1" customWidth="1"/>
    <col min="18" max="16384" width="8.77734375" style="16"/>
  </cols>
  <sheetData>
    <row r="1" spans="1:16" s="749" customFormat="1">
      <c r="A1" s="748"/>
      <c r="B1" s="1070" t="s">
        <v>1212</v>
      </c>
      <c r="C1" s="1070"/>
      <c r="D1" s="1070"/>
      <c r="E1" s="1070"/>
      <c r="F1" s="1070"/>
      <c r="G1" s="1070"/>
      <c r="H1" s="1070"/>
      <c r="I1" s="1070"/>
      <c r="J1" s="1070"/>
      <c r="K1" s="1070"/>
      <c r="L1" s="1070"/>
      <c r="M1" s="1070"/>
      <c r="N1" s="1070"/>
      <c r="O1" s="1070"/>
      <c r="P1" s="1070"/>
    </row>
    <row r="2" spans="1:16" s="749" customFormat="1">
      <c r="A2" s="748"/>
      <c r="B2" s="1070" t="s">
        <v>1467</v>
      </c>
      <c r="C2" s="1070"/>
      <c r="D2" s="1070"/>
      <c r="E2" s="1070"/>
      <c r="F2" s="1070"/>
      <c r="G2" s="1070"/>
      <c r="H2" s="1070"/>
      <c r="I2" s="1070"/>
      <c r="J2" s="1070"/>
      <c r="K2" s="1070"/>
      <c r="L2" s="1070"/>
      <c r="M2" s="1070"/>
      <c r="N2" s="1070"/>
      <c r="O2" s="1070"/>
      <c r="P2" s="1070"/>
    </row>
    <row r="3" spans="1:16" s="749" customFormat="1">
      <c r="A3" s="748"/>
      <c r="B3" s="1070" t="s">
        <v>681</v>
      </c>
      <c r="C3" s="1070"/>
      <c r="D3" s="1070"/>
      <c r="E3" s="1070"/>
      <c r="F3" s="1070"/>
      <c r="G3" s="1070"/>
      <c r="H3" s="1070"/>
      <c r="I3" s="1070"/>
      <c r="J3" s="1070"/>
      <c r="K3" s="1070"/>
      <c r="L3" s="1070"/>
      <c r="M3" s="1070"/>
      <c r="N3" s="1070"/>
      <c r="O3" s="1070"/>
      <c r="P3" s="1070"/>
    </row>
    <row r="4" spans="1:16" s="749" customFormat="1">
      <c r="A4" s="748"/>
      <c r="C4" s="369" t="s">
        <v>198</v>
      </c>
      <c r="D4" s="369" t="s">
        <v>199</v>
      </c>
      <c r="E4" s="849" t="s">
        <v>200</v>
      </c>
      <c r="F4" s="369" t="s">
        <v>201</v>
      </c>
      <c r="G4" s="369" t="s">
        <v>203</v>
      </c>
      <c r="H4" s="369" t="s">
        <v>202</v>
      </c>
      <c r="I4" s="369" t="s">
        <v>204</v>
      </c>
      <c r="J4" s="369" t="s">
        <v>205</v>
      </c>
      <c r="K4" s="369" t="s">
        <v>206</v>
      </c>
      <c r="L4" s="369" t="s">
        <v>244</v>
      </c>
      <c r="M4" s="369" t="s">
        <v>248</v>
      </c>
      <c r="N4" s="369" t="s">
        <v>453</v>
      </c>
      <c r="O4" s="17" t="s">
        <v>779</v>
      </c>
      <c r="P4" s="17" t="s">
        <v>780</v>
      </c>
    </row>
    <row r="5" spans="1:16">
      <c r="B5" s="850" t="s">
        <v>1275</v>
      </c>
    </row>
    <row r="6" spans="1:16">
      <c r="C6" s="851"/>
      <c r="D6" s="851" t="s">
        <v>84</v>
      </c>
      <c r="E6" s="851" t="s">
        <v>83</v>
      </c>
      <c r="F6" s="851" t="s">
        <v>171</v>
      </c>
      <c r="G6" s="851" t="s">
        <v>74</v>
      </c>
      <c r="H6" s="851" t="s">
        <v>73</v>
      </c>
      <c r="I6" s="851" t="s">
        <v>93</v>
      </c>
      <c r="J6" s="851" t="s">
        <v>81</v>
      </c>
      <c r="K6" s="851" t="s">
        <v>172</v>
      </c>
      <c r="L6" s="851" t="s">
        <v>79</v>
      </c>
      <c r="M6" s="851" t="s">
        <v>85</v>
      </c>
      <c r="N6" s="851" t="s">
        <v>78</v>
      </c>
      <c r="O6" s="851" t="s">
        <v>196</v>
      </c>
      <c r="P6" s="17" t="s">
        <v>13</v>
      </c>
    </row>
    <row r="7" spans="1:16">
      <c r="A7" s="748">
        <v>1</v>
      </c>
      <c r="B7" s="850" t="s">
        <v>1221</v>
      </c>
      <c r="D7" s="541"/>
      <c r="E7" s="541"/>
      <c r="F7" s="541"/>
      <c r="G7" s="541"/>
      <c r="H7" s="541"/>
      <c r="I7" s="541"/>
      <c r="J7" s="541"/>
      <c r="K7" s="541"/>
      <c r="L7" s="541"/>
      <c r="M7" s="541"/>
      <c r="N7" s="541"/>
      <c r="O7" s="541"/>
      <c r="P7" s="821"/>
    </row>
    <row r="8" spans="1:16" s="541" customFormat="1">
      <c r="A8" s="852">
        <f>A7+1</f>
        <v>2</v>
      </c>
      <c r="B8" s="853" t="s">
        <v>17</v>
      </c>
      <c r="D8" s="984">
        <v>72177.133333333346</v>
      </c>
      <c r="E8" s="984">
        <v>72177.133333333346</v>
      </c>
      <c r="F8" s="984">
        <v>72177.133333333346</v>
      </c>
      <c r="G8" s="984">
        <v>72177.133333333346</v>
      </c>
      <c r="H8" s="984">
        <v>72177.133333333346</v>
      </c>
      <c r="I8" s="984">
        <v>72177.133333333346</v>
      </c>
      <c r="J8" s="984">
        <v>72177.133333333346</v>
      </c>
      <c r="K8" s="984">
        <v>72177.133333333346</v>
      </c>
      <c r="L8" s="984">
        <v>72177.133333333346</v>
      </c>
      <c r="M8" s="984">
        <v>72177.133333333346</v>
      </c>
      <c r="N8" s="984">
        <v>72177.133333333346</v>
      </c>
      <c r="O8" s="984">
        <v>72177.133333333346</v>
      </c>
      <c r="P8" s="821">
        <f>SUM(D8:O8)</f>
        <v>866125.6</v>
      </c>
    </row>
    <row r="9" spans="1:16" s="541" customFormat="1">
      <c r="A9" s="852"/>
      <c r="P9" s="854"/>
    </row>
    <row r="10" spans="1:16">
      <c r="A10" s="748">
        <f>A8+1</f>
        <v>3</v>
      </c>
      <c r="B10" s="853" t="s">
        <v>1216</v>
      </c>
      <c r="D10" s="984">
        <v>-2832.8333333333335</v>
      </c>
      <c r="E10" s="984">
        <v>-2832.8333333333335</v>
      </c>
      <c r="F10" s="984">
        <v>-2832.8333333333335</v>
      </c>
      <c r="G10" s="984">
        <v>-2832.8333333333335</v>
      </c>
      <c r="H10" s="984">
        <v>-2832.8333333333335</v>
      </c>
      <c r="I10" s="984">
        <v>-2832.8333333333335</v>
      </c>
      <c r="J10" s="984">
        <v>-2832.8333333333335</v>
      </c>
      <c r="K10" s="984">
        <v>-2832.8333333333335</v>
      </c>
      <c r="L10" s="984">
        <v>-2832.8333333333335</v>
      </c>
      <c r="M10" s="984">
        <v>-2832.8333333333335</v>
      </c>
      <c r="N10" s="984">
        <v>-2832.8333333333335</v>
      </c>
      <c r="O10" s="984">
        <v>-2832.8333333333335</v>
      </c>
      <c r="P10" s="821">
        <f>SUM(D10:O10)</f>
        <v>-33993.999999999993</v>
      </c>
    </row>
    <row r="11" spans="1:16">
      <c r="A11" s="852">
        <f t="shared" ref="A11:A12" si="0">A10+1</f>
        <v>4</v>
      </c>
      <c r="B11" s="853" t="s">
        <v>1385</v>
      </c>
      <c r="D11" s="986">
        <v>9.4490855863003556E-2</v>
      </c>
      <c r="E11" s="821"/>
      <c r="F11" s="821"/>
      <c r="G11" s="821"/>
      <c r="H11" s="821"/>
      <c r="I11" s="821"/>
      <c r="J11" s="821"/>
      <c r="K11" s="821"/>
      <c r="L11" s="821"/>
      <c r="M11" s="821"/>
      <c r="N11" s="821"/>
      <c r="O11" s="821"/>
      <c r="P11" s="821"/>
    </row>
    <row r="12" spans="1:16">
      <c r="A12" s="852">
        <f t="shared" si="0"/>
        <v>5</v>
      </c>
      <c r="B12" s="853" t="s">
        <v>1218</v>
      </c>
      <c r="D12" s="854">
        <f>D10*$D$11</f>
        <v>-267.67684618391195</v>
      </c>
      <c r="E12" s="854">
        <f t="shared" ref="E12:O12" si="1">E10*$D$11</f>
        <v>-267.67684618391195</v>
      </c>
      <c r="F12" s="854">
        <f t="shared" si="1"/>
        <v>-267.67684618391195</v>
      </c>
      <c r="G12" s="854">
        <f t="shared" si="1"/>
        <v>-267.67684618391195</v>
      </c>
      <c r="H12" s="854">
        <f t="shared" si="1"/>
        <v>-267.67684618391195</v>
      </c>
      <c r="I12" s="854">
        <f t="shared" si="1"/>
        <v>-267.67684618391195</v>
      </c>
      <c r="J12" s="854">
        <f t="shared" si="1"/>
        <v>-267.67684618391195</v>
      </c>
      <c r="K12" s="854">
        <f t="shared" si="1"/>
        <v>-267.67684618391195</v>
      </c>
      <c r="L12" s="854">
        <f t="shared" si="1"/>
        <v>-267.67684618391195</v>
      </c>
      <c r="M12" s="854">
        <f t="shared" si="1"/>
        <v>-267.67684618391195</v>
      </c>
      <c r="N12" s="854">
        <f t="shared" si="1"/>
        <v>-267.67684618391195</v>
      </c>
      <c r="O12" s="854">
        <f t="shared" si="1"/>
        <v>-267.67684618391195</v>
      </c>
      <c r="P12" s="821">
        <f>SUM(D12:O12)</f>
        <v>-3212.1221542069434</v>
      </c>
    </row>
    <row r="13" spans="1:16">
      <c r="B13" s="541"/>
      <c r="C13" s="541"/>
      <c r="D13" s="541"/>
      <c r="E13" s="541"/>
      <c r="F13" s="541"/>
      <c r="G13" s="541"/>
      <c r="H13" s="541"/>
      <c r="I13" s="541"/>
      <c r="J13" s="541"/>
      <c r="K13" s="541"/>
      <c r="L13" s="541"/>
      <c r="M13" s="541"/>
      <c r="N13" s="541"/>
      <c r="O13" s="541"/>
      <c r="P13" s="854"/>
    </row>
    <row r="14" spans="1:16">
      <c r="A14" s="748">
        <f>A12+1</f>
        <v>6</v>
      </c>
      <c r="B14" s="853" t="s">
        <v>1219</v>
      </c>
      <c r="D14" s="984">
        <v>18961.615000000002</v>
      </c>
      <c r="E14" s="984">
        <v>18961.615000000002</v>
      </c>
      <c r="F14" s="984">
        <v>18961.615000000002</v>
      </c>
      <c r="G14" s="984">
        <v>18961.615000000002</v>
      </c>
      <c r="H14" s="984">
        <v>18961.615000000002</v>
      </c>
      <c r="I14" s="984">
        <v>18961.615000000002</v>
      </c>
      <c r="J14" s="984">
        <v>18961.615000000002</v>
      </c>
      <c r="K14" s="984">
        <v>18961.615000000002</v>
      </c>
      <c r="L14" s="984">
        <v>18961.615000000002</v>
      </c>
      <c r="M14" s="984">
        <v>18961.615000000002</v>
      </c>
      <c r="N14" s="984">
        <v>18961.615000000002</v>
      </c>
      <c r="O14" s="984">
        <v>18961.615000000002</v>
      </c>
      <c r="P14" s="821">
        <f>SUM(D14:O14)</f>
        <v>227539.37999999998</v>
      </c>
    </row>
    <row r="15" spans="1:16">
      <c r="A15" s="852">
        <f t="shared" ref="A15:A16" si="2">A14+1</f>
        <v>7</v>
      </c>
      <c r="B15" s="853" t="s">
        <v>1261</v>
      </c>
      <c r="D15" s="986">
        <v>7.3211515122655155E-2</v>
      </c>
      <c r="E15" s="821"/>
      <c r="F15" s="821"/>
      <c r="G15" s="821"/>
      <c r="H15" s="821"/>
      <c r="I15" s="821"/>
      <c r="J15" s="821"/>
      <c r="K15" s="821"/>
      <c r="L15" s="821"/>
      <c r="M15" s="821"/>
      <c r="N15" s="821"/>
      <c r="O15" s="821"/>
      <c r="P15" s="821"/>
    </row>
    <row r="16" spans="1:16">
      <c r="A16" s="852">
        <f t="shared" si="2"/>
        <v>8</v>
      </c>
      <c r="B16" s="853" t="s">
        <v>1218</v>
      </c>
      <c r="D16" s="854">
        <f>D14*$D$15</f>
        <v>1388.2085633224649</v>
      </c>
      <c r="E16" s="854">
        <f t="shared" ref="E16:O16" si="3">E14*$D$15</f>
        <v>1388.2085633224649</v>
      </c>
      <c r="F16" s="854">
        <f t="shared" si="3"/>
        <v>1388.2085633224649</v>
      </c>
      <c r="G16" s="854">
        <f t="shared" si="3"/>
        <v>1388.2085633224649</v>
      </c>
      <c r="H16" s="854">
        <f t="shared" si="3"/>
        <v>1388.2085633224649</v>
      </c>
      <c r="I16" s="854">
        <f t="shared" si="3"/>
        <v>1388.2085633224649</v>
      </c>
      <c r="J16" s="854">
        <f t="shared" si="3"/>
        <v>1388.2085633224649</v>
      </c>
      <c r="K16" s="854">
        <f t="shared" si="3"/>
        <v>1388.2085633224649</v>
      </c>
      <c r="L16" s="854">
        <f t="shared" si="3"/>
        <v>1388.2085633224649</v>
      </c>
      <c r="M16" s="854">
        <f t="shared" si="3"/>
        <v>1388.2085633224649</v>
      </c>
      <c r="N16" s="854">
        <f t="shared" si="3"/>
        <v>1388.2085633224649</v>
      </c>
      <c r="O16" s="854">
        <f t="shared" si="3"/>
        <v>1388.2085633224649</v>
      </c>
      <c r="P16" s="821">
        <f>SUM(D16:O16)</f>
        <v>16658.502759869578</v>
      </c>
    </row>
    <row r="17" spans="1:16" s="541" customFormat="1">
      <c r="A17" s="852"/>
      <c r="B17" s="853"/>
      <c r="D17" s="854"/>
      <c r="E17" s="854"/>
      <c r="F17" s="854"/>
      <c r="G17" s="854"/>
      <c r="H17" s="854"/>
      <c r="I17" s="854"/>
      <c r="J17" s="854"/>
      <c r="K17" s="854"/>
      <c r="L17" s="854"/>
      <c r="M17" s="854"/>
      <c r="N17" s="854"/>
      <c r="O17" s="854"/>
      <c r="P17" s="854"/>
    </row>
    <row r="18" spans="1:16">
      <c r="A18" s="748">
        <f>A16+1</f>
        <v>9</v>
      </c>
      <c r="B18" s="855" t="s">
        <v>1220</v>
      </c>
      <c r="D18" s="854">
        <f>D8+D12+D16</f>
        <v>73297.6650504719</v>
      </c>
      <c r="E18" s="854">
        <f t="shared" ref="E18:O18" si="4">E8+E12+E16</f>
        <v>73297.6650504719</v>
      </c>
      <c r="F18" s="854">
        <f t="shared" si="4"/>
        <v>73297.6650504719</v>
      </c>
      <c r="G18" s="854">
        <f t="shared" si="4"/>
        <v>73297.6650504719</v>
      </c>
      <c r="H18" s="854">
        <f t="shared" si="4"/>
        <v>73297.6650504719</v>
      </c>
      <c r="I18" s="854">
        <f t="shared" si="4"/>
        <v>73297.6650504719</v>
      </c>
      <c r="J18" s="854">
        <f t="shared" si="4"/>
        <v>73297.6650504719</v>
      </c>
      <c r="K18" s="854">
        <f t="shared" si="4"/>
        <v>73297.6650504719</v>
      </c>
      <c r="L18" s="854">
        <f t="shared" si="4"/>
        <v>73297.6650504719</v>
      </c>
      <c r="M18" s="854">
        <f t="shared" si="4"/>
        <v>73297.6650504719</v>
      </c>
      <c r="N18" s="854">
        <f t="shared" si="4"/>
        <v>73297.6650504719</v>
      </c>
      <c r="O18" s="854">
        <f t="shared" si="4"/>
        <v>73297.6650504719</v>
      </c>
      <c r="P18" s="821">
        <f>SUM(D18:O18)</f>
        <v>879571.9806056628</v>
      </c>
    </row>
    <row r="19" spans="1:16" s="541" customFormat="1">
      <c r="A19" s="852"/>
      <c r="P19" s="854"/>
    </row>
    <row r="20" spans="1:16">
      <c r="A20" s="748">
        <f>A18+1</f>
        <v>10</v>
      </c>
      <c r="B20" s="856" t="s">
        <v>1191</v>
      </c>
      <c r="D20" s="984">
        <v>201938</v>
      </c>
      <c r="E20" s="984">
        <v>201938</v>
      </c>
      <c r="F20" s="984">
        <v>201938</v>
      </c>
      <c r="G20" s="984">
        <v>201938</v>
      </c>
      <c r="H20" s="984">
        <v>201938</v>
      </c>
      <c r="I20" s="984">
        <v>201938</v>
      </c>
      <c r="J20" s="984">
        <v>201938</v>
      </c>
      <c r="K20" s="984">
        <v>201938</v>
      </c>
      <c r="L20" s="984">
        <v>201938</v>
      </c>
      <c r="M20" s="984">
        <v>201938</v>
      </c>
      <c r="N20" s="984">
        <v>201938</v>
      </c>
      <c r="O20" s="984">
        <v>201938</v>
      </c>
      <c r="P20" s="821">
        <f>SUM(D20:O20)</f>
        <v>2423256</v>
      </c>
    </row>
    <row r="21" spans="1:16" s="541" customFormat="1">
      <c r="A21" s="852"/>
      <c r="P21" s="854"/>
    </row>
    <row r="22" spans="1:16">
      <c r="A22" s="748">
        <f>A20+1</f>
        <v>11</v>
      </c>
      <c r="B22" s="856" t="s">
        <v>1192</v>
      </c>
      <c r="D22" s="984">
        <v>74045</v>
      </c>
      <c r="E22" s="984">
        <v>74045</v>
      </c>
      <c r="F22" s="984">
        <v>74045</v>
      </c>
      <c r="G22" s="984">
        <v>74045</v>
      </c>
      <c r="H22" s="984">
        <v>74045</v>
      </c>
      <c r="I22" s="984">
        <v>74045</v>
      </c>
      <c r="J22" s="984">
        <v>74045</v>
      </c>
      <c r="K22" s="984">
        <v>74045</v>
      </c>
      <c r="L22" s="984">
        <v>74045</v>
      </c>
      <c r="M22" s="984">
        <v>74045</v>
      </c>
      <c r="N22" s="984">
        <v>74045</v>
      </c>
      <c r="O22" s="984">
        <v>74045</v>
      </c>
      <c r="P22" s="821">
        <f t="shared" ref="P22:P23" si="5">SUM(D22:O22)</f>
        <v>888540</v>
      </c>
    </row>
    <row r="23" spans="1:16">
      <c r="A23" s="852">
        <f t="shared" ref="A23:A24" si="6">A22+1</f>
        <v>12</v>
      </c>
      <c r="B23" s="856" t="s">
        <v>1193</v>
      </c>
      <c r="D23" s="984">
        <v>-78379</v>
      </c>
      <c r="E23" s="984">
        <v>-78379</v>
      </c>
      <c r="F23" s="984">
        <v>-78379</v>
      </c>
      <c r="G23" s="984">
        <v>-78379</v>
      </c>
      <c r="H23" s="984">
        <v>-78379</v>
      </c>
      <c r="I23" s="984">
        <v>-78379</v>
      </c>
      <c r="J23" s="984">
        <v>-78379</v>
      </c>
      <c r="K23" s="984">
        <v>-78379</v>
      </c>
      <c r="L23" s="984">
        <v>-78379</v>
      </c>
      <c r="M23" s="984">
        <v>-78379</v>
      </c>
      <c r="N23" s="984">
        <v>-78379</v>
      </c>
      <c r="O23" s="984">
        <v>-78379</v>
      </c>
      <c r="P23" s="821">
        <f t="shared" si="5"/>
        <v>-940548</v>
      </c>
    </row>
    <row r="24" spans="1:16">
      <c r="A24" s="852">
        <f t="shared" si="6"/>
        <v>13</v>
      </c>
      <c r="B24" s="856" t="s">
        <v>1194</v>
      </c>
      <c r="D24" s="821">
        <f t="shared" ref="D24:O24" si="7">SUM(D22:D23)</f>
        <v>-4334</v>
      </c>
      <c r="E24" s="821">
        <f t="shared" si="7"/>
        <v>-4334</v>
      </c>
      <c r="F24" s="821">
        <f t="shared" si="7"/>
        <v>-4334</v>
      </c>
      <c r="G24" s="821">
        <f t="shared" si="7"/>
        <v>-4334</v>
      </c>
      <c r="H24" s="821">
        <f t="shared" si="7"/>
        <v>-4334</v>
      </c>
      <c r="I24" s="821">
        <f t="shared" si="7"/>
        <v>-4334</v>
      </c>
      <c r="J24" s="821">
        <f t="shared" si="7"/>
        <v>-4334</v>
      </c>
      <c r="K24" s="821">
        <f t="shared" si="7"/>
        <v>-4334</v>
      </c>
      <c r="L24" s="821">
        <f t="shared" si="7"/>
        <v>-4334</v>
      </c>
      <c r="M24" s="821">
        <f t="shared" si="7"/>
        <v>-4334</v>
      </c>
      <c r="N24" s="821">
        <f t="shared" si="7"/>
        <v>-4334</v>
      </c>
      <c r="O24" s="821">
        <f t="shared" si="7"/>
        <v>-4334</v>
      </c>
      <c r="P24" s="821">
        <f>SUM(P22:P23)</f>
        <v>-52008</v>
      </c>
    </row>
    <row r="25" spans="1:16">
      <c r="B25" s="747"/>
      <c r="D25" s="541"/>
      <c r="E25" s="541"/>
      <c r="F25" s="541"/>
      <c r="G25" s="541"/>
      <c r="H25" s="541"/>
      <c r="I25" s="541"/>
      <c r="J25" s="541"/>
      <c r="K25" s="541"/>
      <c r="L25" s="541"/>
      <c r="M25" s="541"/>
      <c r="N25" s="541"/>
      <c r="O25" s="541"/>
    </row>
    <row r="26" spans="1:16">
      <c r="B26" s="747"/>
      <c r="D26" s="541"/>
      <c r="E26" s="541"/>
      <c r="F26" s="541"/>
      <c r="G26" s="541"/>
      <c r="H26" s="541"/>
      <c r="I26" s="541"/>
      <c r="J26" s="541"/>
      <c r="K26" s="541"/>
      <c r="L26" s="541"/>
      <c r="M26" s="541"/>
      <c r="N26" s="541"/>
      <c r="O26" s="541"/>
    </row>
    <row r="27" spans="1:16">
      <c r="B27" s="850" t="s">
        <v>1276</v>
      </c>
      <c r="D27" s="541"/>
      <c r="E27" s="541"/>
      <c r="F27" s="541"/>
      <c r="G27" s="541"/>
      <c r="H27" s="541"/>
      <c r="I27" s="541"/>
      <c r="J27" s="541"/>
      <c r="K27" s="541"/>
      <c r="L27" s="541"/>
      <c r="M27" s="541"/>
      <c r="N27" s="541"/>
      <c r="O27" s="541"/>
    </row>
    <row r="28" spans="1:16" ht="41.45" customHeight="1">
      <c r="C28" s="851" t="s">
        <v>195</v>
      </c>
      <c r="D28" s="851" t="s">
        <v>84</v>
      </c>
      <c r="E28" s="851" t="s">
        <v>83</v>
      </c>
      <c r="F28" s="851" t="s">
        <v>171</v>
      </c>
      <c r="G28" s="851" t="s">
        <v>74</v>
      </c>
      <c r="H28" s="851" t="s">
        <v>73</v>
      </c>
      <c r="I28" s="851" t="s">
        <v>93</v>
      </c>
      <c r="J28" s="851" t="s">
        <v>81</v>
      </c>
      <c r="K28" s="851" t="s">
        <v>172</v>
      </c>
      <c r="L28" s="851" t="s">
        <v>79</v>
      </c>
      <c r="M28" s="851" t="s">
        <v>85</v>
      </c>
      <c r="N28" s="851" t="s">
        <v>78</v>
      </c>
      <c r="O28" s="851" t="s">
        <v>196</v>
      </c>
      <c r="P28" s="830" t="s">
        <v>1277</v>
      </c>
    </row>
    <row r="29" spans="1:16">
      <c r="A29" s="748">
        <f>A24+1</f>
        <v>14</v>
      </c>
      <c r="B29" s="850" t="s">
        <v>1221</v>
      </c>
    </row>
    <row r="30" spans="1:16">
      <c r="A30" s="852">
        <f>A29+1</f>
        <v>15</v>
      </c>
      <c r="B30" s="853" t="s">
        <v>17</v>
      </c>
      <c r="C30" s="984">
        <v>78972292</v>
      </c>
      <c r="D30" s="240">
        <f t="shared" ref="D30:N30" si="8">C30-D8</f>
        <v>78900114.86666666</v>
      </c>
      <c r="E30" s="240">
        <f t="shared" si="8"/>
        <v>78827937.733333319</v>
      </c>
      <c r="F30" s="240">
        <f t="shared" si="8"/>
        <v>78755760.599999979</v>
      </c>
      <c r="G30" s="240">
        <f t="shared" si="8"/>
        <v>78683583.466666639</v>
      </c>
      <c r="H30" s="240">
        <f t="shared" si="8"/>
        <v>78611406.333333299</v>
      </c>
      <c r="I30" s="240">
        <f t="shared" si="8"/>
        <v>78539229.199999958</v>
      </c>
      <c r="J30" s="240">
        <f t="shared" si="8"/>
        <v>78467052.066666618</v>
      </c>
      <c r="K30" s="240">
        <f t="shared" si="8"/>
        <v>78394874.933333278</v>
      </c>
      <c r="L30" s="240">
        <f t="shared" si="8"/>
        <v>78322697.799999937</v>
      </c>
      <c r="M30" s="240">
        <f t="shared" si="8"/>
        <v>78250520.666666597</v>
      </c>
      <c r="N30" s="240">
        <f t="shared" si="8"/>
        <v>78178343.533333257</v>
      </c>
      <c r="O30" s="240">
        <f>N30-O8</f>
        <v>78106166.399999917</v>
      </c>
      <c r="P30" s="857">
        <f>AVERAGE(C30,O30)</f>
        <v>78539229.199999958</v>
      </c>
    </row>
    <row r="31" spans="1:16">
      <c r="A31" s="852"/>
      <c r="B31" s="541"/>
      <c r="C31" s="854"/>
      <c r="D31" s="240"/>
      <c r="E31" s="240"/>
      <c r="F31" s="240"/>
      <c r="G31" s="240"/>
      <c r="H31" s="240"/>
      <c r="I31" s="240"/>
      <c r="J31" s="240"/>
      <c r="K31" s="240"/>
      <c r="L31" s="240"/>
      <c r="M31" s="240"/>
      <c r="N31" s="240"/>
      <c r="O31" s="240"/>
      <c r="P31" s="858"/>
    </row>
    <row r="32" spans="1:16">
      <c r="A32" s="748">
        <f>A30+1</f>
        <v>16</v>
      </c>
      <c r="B32" s="853" t="s">
        <v>1216</v>
      </c>
      <c r="C32" s="984">
        <v>1463764.0000000009</v>
      </c>
      <c r="D32" s="240">
        <f>C32-D10</f>
        <v>1466596.8333333342</v>
      </c>
      <c r="E32" s="240">
        <f t="shared" ref="E32:O32" si="9">D32-E10</f>
        <v>1469429.6666666674</v>
      </c>
      <c r="F32" s="240">
        <f t="shared" si="9"/>
        <v>1472262.5000000007</v>
      </c>
      <c r="G32" s="240">
        <f t="shared" si="9"/>
        <v>1475095.333333334</v>
      </c>
      <c r="H32" s="240">
        <f t="shared" si="9"/>
        <v>1477928.1666666672</v>
      </c>
      <c r="I32" s="240">
        <f t="shared" si="9"/>
        <v>1480761.0000000005</v>
      </c>
      <c r="J32" s="240">
        <f t="shared" si="9"/>
        <v>1483593.8333333337</v>
      </c>
      <c r="K32" s="240">
        <f t="shared" si="9"/>
        <v>1486426.666666667</v>
      </c>
      <c r="L32" s="240">
        <f t="shared" si="9"/>
        <v>1489259.5000000002</v>
      </c>
      <c r="M32" s="240">
        <f t="shared" si="9"/>
        <v>1492092.3333333335</v>
      </c>
      <c r="N32" s="240">
        <f t="shared" si="9"/>
        <v>1494925.1666666667</v>
      </c>
      <c r="O32" s="240">
        <f t="shared" si="9"/>
        <v>1497758</v>
      </c>
      <c r="P32" s="857">
        <f>AVERAGE(C32,O32)</f>
        <v>1480761.0000000005</v>
      </c>
    </row>
    <row r="33" spans="1:16">
      <c r="A33" s="852">
        <f t="shared" ref="A33:A34" si="10">A32+1</f>
        <v>17</v>
      </c>
      <c r="B33" s="853" t="s">
        <v>1217</v>
      </c>
      <c r="C33" s="986">
        <v>9.4490855863003556E-2</v>
      </c>
      <c r="D33" s="240"/>
      <c r="E33" s="240"/>
      <c r="F33" s="240"/>
      <c r="G33" s="240"/>
      <c r="H33" s="240"/>
      <c r="I33" s="240"/>
      <c r="J33" s="240"/>
      <c r="K33" s="240"/>
      <c r="L33" s="240"/>
      <c r="M33" s="240"/>
      <c r="N33" s="240"/>
      <c r="O33" s="240"/>
      <c r="P33" s="857"/>
    </row>
    <row r="34" spans="1:16">
      <c r="A34" s="852">
        <f t="shared" si="10"/>
        <v>18</v>
      </c>
      <c r="B34" s="853" t="s">
        <v>1218</v>
      </c>
      <c r="C34" s="854">
        <f>C32*$C$33</f>
        <v>138312.31314145363</v>
      </c>
      <c r="D34" s="857">
        <f t="shared" ref="D34:O34" si="11">D32*$C$33</f>
        <v>138579.98998763753</v>
      </c>
      <c r="E34" s="857">
        <f t="shared" si="11"/>
        <v>138847.66683382142</v>
      </c>
      <c r="F34" s="857">
        <f t="shared" si="11"/>
        <v>139115.34368000535</v>
      </c>
      <c r="G34" s="857">
        <f t="shared" si="11"/>
        <v>139383.02052618924</v>
      </c>
      <c r="H34" s="857">
        <f t="shared" si="11"/>
        <v>139650.69737237314</v>
      </c>
      <c r="I34" s="857">
        <f t="shared" si="11"/>
        <v>139918.37421855706</v>
      </c>
      <c r="J34" s="857">
        <f t="shared" si="11"/>
        <v>140186.05106474095</v>
      </c>
      <c r="K34" s="857">
        <f t="shared" si="11"/>
        <v>140453.72791092485</v>
      </c>
      <c r="L34" s="857">
        <f t="shared" si="11"/>
        <v>140721.40475710877</v>
      </c>
      <c r="M34" s="857">
        <f t="shared" si="11"/>
        <v>140989.08160329267</v>
      </c>
      <c r="N34" s="857">
        <f t="shared" si="11"/>
        <v>141256.75844947656</v>
      </c>
      <c r="O34" s="857">
        <f t="shared" si="11"/>
        <v>141524.43529566049</v>
      </c>
      <c r="P34" s="857">
        <f>AVERAGE(C34,O34)</f>
        <v>139918.37421855706</v>
      </c>
    </row>
    <row r="35" spans="1:16">
      <c r="B35" s="541"/>
      <c r="C35" s="854"/>
      <c r="D35" s="240"/>
      <c r="E35" s="240"/>
      <c r="F35" s="240"/>
      <c r="G35" s="240"/>
      <c r="H35" s="240"/>
      <c r="I35" s="240"/>
      <c r="J35" s="240"/>
      <c r="K35" s="240"/>
      <c r="L35" s="240"/>
      <c r="M35" s="240"/>
      <c r="N35" s="240"/>
      <c r="O35" s="240"/>
      <c r="P35" s="858"/>
    </row>
    <row r="36" spans="1:16">
      <c r="A36" s="748">
        <f>A34+1</f>
        <v>19</v>
      </c>
      <c r="B36" s="853" t="s">
        <v>1219</v>
      </c>
      <c r="C36" s="984">
        <v>11360123</v>
      </c>
      <c r="D36" s="240">
        <f>C36-D14</f>
        <v>11341161.385</v>
      </c>
      <c r="E36" s="240">
        <f t="shared" ref="E36:O36" si="12">D36-E14</f>
        <v>11322199.77</v>
      </c>
      <c r="F36" s="240">
        <f t="shared" si="12"/>
        <v>11303238.154999999</v>
      </c>
      <c r="G36" s="240">
        <f t="shared" si="12"/>
        <v>11284276.539999999</v>
      </c>
      <c r="H36" s="240">
        <f t="shared" si="12"/>
        <v>11265314.924999999</v>
      </c>
      <c r="I36" s="240">
        <f t="shared" si="12"/>
        <v>11246353.309999999</v>
      </c>
      <c r="J36" s="240">
        <f t="shared" si="12"/>
        <v>11227391.694999998</v>
      </c>
      <c r="K36" s="240">
        <f t="shared" si="12"/>
        <v>11208430.079999998</v>
      </c>
      <c r="L36" s="240">
        <f t="shared" si="12"/>
        <v>11189468.464999998</v>
      </c>
      <c r="M36" s="240">
        <f t="shared" si="12"/>
        <v>11170506.849999998</v>
      </c>
      <c r="N36" s="240">
        <f t="shared" si="12"/>
        <v>11151545.234999998</v>
      </c>
      <c r="O36" s="240">
        <f t="shared" si="12"/>
        <v>11132583.619999997</v>
      </c>
      <c r="P36" s="857">
        <f>AVERAGE(C36,O36)</f>
        <v>11246353.309999999</v>
      </c>
    </row>
    <row r="37" spans="1:16">
      <c r="A37" s="852">
        <f t="shared" ref="A37:A38" si="13">A36+1</f>
        <v>20</v>
      </c>
      <c r="B37" s="853" t="s">
        <v>1217</v>
      </c>
      <c r="C37" s="986">
        <v>7.3211515122655155E-2</v>
      </c>
      <c r="D37" s="240"/>
      <c r="E37" s="240"/>
      <c r="F37" s="240"/>
      <c r="G37" s="240"/>
      <c r="H37" s="240"/>
      <c r="I37" s="240"/>
      <c r="J37" s="240"/>
      <c r="K37" s="240"/>
      <c r="L37" s="240"/>
      <c r="M37" s="240"/>
      <c r="N37" s="240"/>
      <c r="O37" s="240"/>
      <c r="P37" s="857"/>
    </row>
    <row r="38" spans="1:16">
      <c r="A38" s="852">
        <f t="shared" si="13"/>
        <v>21</v>
      </c>
      <c r="B38" s="853" t="s">
        <v>1218</v>
      </c>
      <c r="C38" s="854">
        <f>C36*$C$37</f>
        <v>831691.81680972269</v>
      </c>
      <c r="D38" s="857">
        <f t="shared" ref="D38:O38" si="14">D36*$C$37</f>
        <v>830303.60824640014</v>
      </c>
      <c r="E38" s="857">
        <f t="shared" si="14"/>
        <v>828915.3996830777</v>
      </c>
      <c r="F38" s="857">
        <f t="shared" si="14"/>
        <v>827527.19111975515</v>
      </c>
      <c r="G38" s="857">
        <f t="shared" si="14"/>
        <v>826138.98255643272</v>
      </c>
      <c r="H38" s="857">
        <f t="shared" si="14"/>
        <v>824750.77399311028</v>
      </c>
      <c r="I38" s="857">
        <f t="shared" si="14"/>
        <v>823362.56542978773</v>
      </c>
      <c r="J38" s="857">
        <f t="shared" si="14"/>
        <v>821974.3568664653</v>
      </c>
      <c r="K38" s="857">
        <f t="shared" si="14"/>
        <v>820586.14830314275</v>
      </c>
      <c r="L38" s="857">
        <f t="shared" si="14"/>
        <v>819197.93973982031</v>
      </c>
      <c r="M38" s="857">
        <f t="shared" si="14"/>
        <v>817809.73117649788</v>
      </c>
      <c r="N38" s="857">
        <f t="shared" si="14"/>
        <v>816421.52261317533</v>
      </c>
      <c r="O38" s="857">
        <f t="shared" si="14"/>
        <v>815033.3140498529</v>
      </c>
      <c r="P38" s="857">
        <f>AVERAGE(C38,O38)</f>
        <v>823362.56542978785</v>
      </c>
    </row>
    <row r="39" spans="1:16">
      <c r="A39" s="852"/>
      <c r="B39" s="850"/>
      <c r="C39" s="854"/>
      <c r="D39" s="240"/>
      <c r="E39" s="240"/>
      <c r="F39" s="240"/>
      <c r="G39" s="240"/>
      <c r="H39" s="240"/>
      <c r="I39" s="240"/>
      <c r="J39" s="240"/>
      <c r="K39" s="240"/>
      <c r="L39" s="240"/>
      <c r="M39" s="240"/>
      <c r="N39" s="240"/>
      <c r="O39" s="240"/>
      <c r="P39" s="858"/>
    </row>
    <row r="40" spans="1:16">
      <c r="A40" s="748">
        <f>A38+1</f>
        <v>22</v>
      </c>
      <c r="B40" s="855" t="s">
        <v>1220</v>
      </c>
      <c r="C40" s="854">
        <f>C30+C34+C38</f>
        <v>79942296.129951179</v>
      </c>
      <c r="D40" s="857">
        <f t="shared" ref="D40:O40" si="15">D30+D34+D38</f>
        <v>79868998.464900702</v>
      </c>
      <c r="E40" s="857">
        <f t="shared" si="15"/>
        <v>79795700.799850211</v>
      </c>
      <c r="F40" s="857">
        <f t="shared" si="15"/>
        <v>79722403.134799749</v>
      </c>
      <c r="G40" s="857">
        <f t="shared" si="15"/>
        <v>79649105.469749257</v>
      </c>
      <c r="H40" s="857">
        <f t="shared" si="15"/>
        <v>79575807.80469878</v>
      </c>
      <c r="I40" s="857">
        <f t="shared" si="15"/>
        <v>79502510.139648303</v>
      </c>
      <c r="J40" s="857">
        <f t="shared" si="15"/>
        <v>79429212.474597827</v>
      </c>
      <c r="K40" s="857">
        <f t="shared" si="15"/>
        <v>79355914.809547335</v>
      </c>
      <c r="L40" s="857">
        <f t="shared" si="15"/>
        <v>79282617.144496873</v>
      </c>
      <c r="M40" s="857">
        <f t="shared" si="15"/>
        <v>79209319.479446381</v>
      </c>
      <c r="N40" s="857">
        <f t="shared" si="15"/>
        <v>79136021.814395919</v>
      </c>
      <c r="O40" s="857">
        <f t="shared" si="15"/>
        <v>79062724.149345428</v>
      </c>
      <c r="P40" s="857">
        <f>AVERAGE(C40,O40)</f>
        <v>79502510.139648303</v>
      </c>
    </row>
    <row r="41" spans="1:16" s="541" customFormat="1">
      <c r="A41" s="852"/>
      <c r="C41" s="859"/>
      <c r="D41" s="860"/>
      <c r="E41" s="860"/>
      <c r="F41" s="860"/>
      <c r="G41" s="860"/>
      <c r="H41" s="860"/>
      <c r="I41" s="860"/>
      <c r="J41" s="860"/>
      <c r="K41" s="860"/>
      <c r="L41" s="860"/>
      <c r="M41" s="860"/>
      <c r="N41" s="860"/>
      <c r="O41" s="860"/>
      <c r="P41" s="860"/>
    </row>
    <row r="42" spans="1:16">
      <c r="A42" s="748">
        <f>A40+1</f>
        <v>23</v>
      </c>
      <c r="B42" s="856" t="s">
        <v>1191</v>
      </c>
      <c r="C42" s="984">
        <v>14539561</v>
      </c>
      <c r="D42" s="240">
        <f t="shared" ref="D42:O42" si="16">C42-D20</f>
        <v>14337623</v>
      </c>
      <c r="E42" s="240">
        <f t="shared" si="16"/>
        <v>14135685</v>
      </c>
      <c r="F42" s="240">
        <f t="shared" si="16"/>
        <v>13933747</v>
      </c>
      <c r="G42" s="240">
        <f t="shared" si="16"/>
        <v>13731809</v>
      </c>
      <c r="H42" s="240">
        <f t="shared" si="16"/>
        <v>13529871</v>
      </c>
      <c r="I42" s="240">
        <f t="shared" si="16"/>
        <v>13327933</v>
      </c>
      <c r="J42" s="240">
        <f t="shared" si="16"/>
        <v>13125995</v>
      </c>
      <c r="K42" s="240">
        <f t="shared" si="16"/>
        <v>12924057</v>
      </c>
      <c r="L42" s="240">
        <f t="shared" si="16"/>
        <v>12722119</v>
      </c>
      <c r="M42" s="240">
        <f t="shared" si="16"/>
        <v>12520181</v>
      </c>
      <c r="N42" s="240">
        <f t="shared" si="16"/>
        <v>12318243</v>
      </c>
      <c r="O42" s="240">
        <f t="shared" si="16"/>
        <v>12116305</v>
      </c>
      <c r="P42" s="857">
        <f>AVERAGE(C42,O42)</f>
        <v>13327933</v>
      </c>
    </row>
    <row r="43" spans="1:16" s="541" customFormat="1">
      <c r="A43" s="852"/>
      <c r="C43" s="859"/>
      <c r="D43" s="860"/>
      <c r="E43" s="860"/>
      <c r="F43" s="860"/>
      <c r="G43" s="860"/>
      <c r="H43" s="860"/>
      <c r="I43" s="860"/>
      <c r="J43" s="860"/>
      <c r="K43" s="860"/>
      <c r="L43" s="860"/>
      <c r="M43" s="860"/>
      <c r="N43" s="860"/>
      <c r="O43" s="860"/>
      <c r="P43" s="860"/>
    </row>
    <row r="44" spans="1:16">
      <c r="A44" s="748">
        <f>A42+1</f>
        <v>24</v>
      </c>
      <c r="B44" s="856" t="s">
        <v>1192</v>
      </c>
      <c r="C44" s="984">
        <v>3554162</v>
      </c>
      <c r="D44" s="240">
        <f t="shared" ref="D44:O44" si="17">C44-D22</f>
        <v>3480117</v>
      </c>
      <c r="E44" s="240">
        <f t="shared" si="17"/>
        <v>3406072</v>
      </c>
      <c r="F44" s="240">
        <f t="shared" si="17"/>
        <v>3332027</v>
      </c>
      <c r="G44" s="240">
        <f t="shared" si="17"/>
        <v>3257982</v>
      </c>
      <c r="H44" s="240">
        <f t="shared" si="17"/>
        <v>3183937</v>
      </c>
      <c r="I44" s="240">
        <f t="shared" si="17"/>
        <v>3109892</v>
      </c>
      <c r="J44" s="240">
        <f t="shared" si="17"/>
        <v>3035847</v>
      </c>
      <c r="K44" s="240">
        <f t="shared" si="17"/>
        <v>2961802</v>
      </c>
      <c r="L44" s="240">
        <f t="shared" si="17"/>
        <v>2887757</v>
      </c>
      <c r="M44" s="240">
        <f t="shared" si="17"/>
        <v>2813712</v>
      </c>
      <c r="N44" s="240">
        <f t="shared" si="17"/>
        <v>2739667</v>
      </c>
      <c r="O44" s="240">
        <f t="shared" si="17"/>
        <v>2665622</v>
      </c>
      <c r="P44" s="857">
        <f>AVERAGE(C44,O44)</f>
        <v>3109892</v>
      </c>
    </row>
    <row r="45" spans="1:16">
      <c r="A45" s="852">
        <f t="shared" ref="A45:A46" si="18">A44+1</f>
        <v>25</v>
      </c>
      <c r="B45" s="856" t="s">
        <v>1193</v>
      </c>
      <c r="C45" s="984">
        <v>-3762179</v>
      </c>
      <c r="D45" s="240">
        <f t="shared" ref="D45:O45" si="19">C45-D23</f>
        <v>-3683800</v>
      </c>
      <c r="E45" s="240">
        <f t="shared" si="19"/>
        <v>-3605421</v>
      </c>
      <c r="F45" s="240">
        <f t="shared" si="19"/>
        <v>-3527042</v>
      </c>
      <c r="G45" s="240">
        <f t="shared" si="19"/>
        <v>-3448663</v>
      </c>
      <c r="H45" s="240">
        <f t="shared" si="19"/>
        <v>-3370284</v>
      </c>
      <c r="I45" s="240">
        <f t="shared" si="19"/>
        <v>-3291905</v>
      </c>
      <c r="J45" s="240">
        <f t="shared" si="19"/>
        <v>-3213526</v>
      </c>
      <c r="K45" s="240">
        <f t="shared" si="19"/>
        <v>-3135147</v>
      </c>
      <c r="L45" s="240">
        <f t="shared" si="19"/>
        <v>-3056768</v>
      </c>
      <c r="M45" s="240">
        <f t="shared" si="19"/>
        <v>-2978389</v>
      </c>
      <c r="N45" s="240">
        <f t="shared" si="19"/>
        <v>-2900010</v>
      </c>
      <c r="O45" s="240">
        <f t="shared" si="19"/>
        <v>-2821631</v>
      </c>
      <c r="P45" s="857">
        <f>AVERAGE(C45,O45)</f>
        <v>-3291905</v>
      </c>
    </row>
    <row r="46" spans="1:16">
      <c r="A46" s="852">
        <f t="shared" si="18"/>
        <v>26</v>
      </c>
      <c r="B46" s="856" t="s">
        <v>1194</v>
      </c>
      <c r="C46" s="821">
        <f t="shared" ref="C46" si="20">SUM(C44:C45)</f>
        <v>-208017</v>
      </c>
      <c r="D46" s="858">
        <f t="shared" ref="D46" si="21">SUM(D44:D45)</f>
        <v>-203683</v>
      </c>
      <c r="E46" s="858">
        <f t="shared" ref="E46" si="22">SUM(E44:E45)</f>
        <v>-199349</v>
      </c>
      <c r="F46" s="858">
        <f t="shared" ref="F46" si="23">SUM(F44:F45)</f>
        <v>-195015</v>
      </c>
      <c r="G46" s="858">
        <f t="shared" ref="G46" si="24">SUM(G44:G45)</f>
        <v>-190681</v>
      </c>
      <c r="H46" s="858">
        <f t="shared" ref="H46" si="25">SUM(H44:H45)</f>
        <v>-186347</v>
      </c>
      <c r="I46" s="858">
        <f t="shared" ref="I46" si="26">SUM(I44:I45)</f>
        <v>-182013</v>
      </c>
      <c r="J46" s="858">
        <f t="shared" ref="J46" si="27">SUM(J44:J45)</f>
        <v>-177679</v>
      </c>
      <c r="K46" s="858">
        <f t="shared" ref="K46" si="28">SUM(K44:K45)</f>
        <v>-173345</v>
      </c>
      <c r="L46" s="858">
        <f t="shared" ref="L46" si="29">SUM(L44:L45)</f>
        <v>-169011</v>
      </c>
      <c r="M46" s="858">
        <f t="shared" ref="M46" si="30">SUM(M44:M45)</f>
        <v>-164677</v>
      </c>
      <c r="N46" s="858">
        <f t="shared" ref="N46" si="31">SUM(N44:N45)</f>
        <v>-160343</v>
      </c>
      <c r="O46" s="858">
        <f t="shared" ref="O46:P46" si="32">SUM(O44:O45)</f>
        <v>-156009</v>
      </c>
      <c r="P46" s="858">
        <f t="shared" si="32"/>
        <v>-182013</v>
      </c>
    </row>
    <row r="47" spans="1:16">
      <c r="D47" s="859"/>
      <c r="E47" s="859"/>
      <c r="F47" s="859"/>
      <c r="G47" s="859"/>
      <c r="H47" s="859"/>
      <c r="I47" s="859"/>
      <c r="J47" s="859"/>
      <c r="K47" s="859"/>
      <c r="L47" s="859"/>
      <c r="M47" s="859"/>
      <c r="N47" s="859"/>
      <c r="O47" s="859"/>
    </row>
    <row r="48" spans="1:16">
      <c r="D48" s="859"/>
      <c r="E48" s="859"/>
      <c r="F48" s="859"/>
      <c r="G48" s="859"/>
      <c r="H48" s="859"/>
      <c r="I48" s="859"/>
      <c r="J48" s="859"/>
      <c r="K48" s="859"/>
      <c r="L48" s="859"/>
      <c r="M48" s="859"/>
      <c r="N48" s="859"/>
      <c r="O48" s="859"/>
    </row>
    <row r="49" spans="1:16" ht="16.5" thickBot="1">
      <c r="A49" s="861" t="s">
        <v>182</v>
      </c>
    </row>
    <row r="50" spans="1:16" ht="45" customHeight="1">
      <c r="A50" s="747" t="s">
        <v>58</v>
      </c>
      <c r="B50" s="1078" t="s">
        <v>1562</v>
      </c>
      <c r="C50" s="1078"/>
      <c r="D50" s="1078"/>
      <c r="E50" s="1078"/>
      <c r="F50" s="1078"/>
      <c r="G50" s="1078"/>
      <c r="H50" s="1078"/>
      <c r="I50" s="1078"/>
      <c r="J50" s="1078"/>
      <c r="K50" s="1078"/>
      <c r="L50" s="1078"/>
      <c r="M50" s="1078"/>
      <c r="N50" s="1078"/>
      <c r="O50" s="1078"/>
      <c r="P50" s="1078"/>
    </row>
    <row r="51" spans="1:16">
      <c r="A51" s="16" t="s">
        <v>59</v>
      </c>
      <c r="B51" s="16" t="s">
        <v>1274</v>
      </c>
    </row>
    <row r="52" spans="1:16">
      <c r="A52" s="862"/>
      <c r="B52" s="863" t="s">
        <v>1198</v>
      </c>
      <c r="C52" s="747" t="s">
        <v>1195</v>
      </c>
      <c r="F52" s="864"/>
    </row>
    <row r="53" spans="1:16">
      <c r="A53" s="862"/>
      <c r="B53" s="863" t="s">
        <v>1190</v>
      </c>
      <c r="C53" s="747" t="s">
        <v>1189</v>
      </c>
      <c r="D53" s="864"/>
    </row>
    <row r="54" spans="1:16">
      <c r="A54" s="862"/>
      <c r="B54" s="863" t="s">
        <v>1196</v>
      </c>
      <c r="C54" s="747" t="s">
        <v>1197</v>
      </c>
    </row>
    <row r="55" spans="1:16">
      <c r="A55" s="16"/>
      <c r="B55" s="16" t="s">
        <v>1397</v>
      </c>
    </row>
    <row r="56" spans="1:16">
      <c r="A56" s="541" t="s">
        <v>60</v>
      </c>
      <c r="B56" s="541" t="s">
        <v>1273</v>
      </c>
      <c r="C56" s="541"/>
      <c r="D56" s="541"/>
      <c r="E56" s="541"/>
      <c r="F56" s="541"/>
      <c r="G56" s="541"/>
      <c r="H56" s="541"/>
      <c r="I56" s="541"/>
      <c r="J56" s="541"/>
      <c r="K56" s="541"/>
      <c r="L56" s="541"/>
    </row>
    <row r="57" spans="1:16">
      <c r="A57" s="865" t="s">
        <v>61</v>
      </c>
      <c r="B57" s="541" t="s">
        <v>1393</v>
      </c>
    </row>
  </sheetData>
  <sheetProtection algorithmName="SHA-512" hashValue="Bv6wdtzCkNAsxRkTt5h2AhFIc2Fp9vpqu9yPWOesNB0GoIuZb7yknhl48FcquDAkAOjyIP0uz/q8arLVQPxehA==" saltValue="PAeMQ1BDDB7uWL59SpVPWQ==" spinCount="100000" sheet="1" objects="1" scenarios="1"/>
  <mergeCells count="4">
    <mergeCell ref="B3:P3"/>
    <mergeCell ref="B1:P1"/>
    <mergeCell ref="B2:P2"/>
    <mergeCell ref="B50:P50"/>
  </mergeCells>
  <pageMargins left="0.7" right="0.7" top="0.75" bottom="0.75" header="0.3" footer="0.3"/>
  <pageSetup scale="56" orientation="landscape" r:id="rId1"/>
  <ignoredErrors>
    <ignoredError sqref="C34:C35 D16:O19 E15:O15 D21:O21 D24:O2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5"/>
  <sheetViews>
    <sheetView view="pageBreakPreview" topLeftCell="A11" zoomScale="80" zoomScaleNormal="80" zoomScaleSheetLayoutView="80" workbookViewId="0">
      <selection activeCell="C234" sqref="C234"/>
    </sheetView>
  </sheetViews>
  <sheetFormatPr defaultColWidth="8.88671875" defaultRowHeight="12.75"/>
  <cols>
    <col min="1" max="1" width="5.77734375" style="21" customWidth="1"/>
    <col min="2" max="2" width="63.21875" style="21" customWidth="1"/>
    <col min="3" max="3" width="47.44140625" style="21" bestFit="1" customWidth="1"/>
    <col min="4" max="4" width="16.33203125" style="21" customWidth="1"/>
    <col min="5" max="5" width="5.77734375" style="21" customWidth="1"/>
    <col min="6" max="6" width="8.33203125" style="21" customWidth="1"/>
    <col min="7" max="7" width="16.77734375" style="21" customWidth="1"/>
    <col min="8" max="8" width="4.88671875" style="21" customWidth="1"/>
    <col min="9" max="9" width="18.6640625" style="21" customWidth="1"/>
    <col min="10" max="10" width="2.6640625" style="21" customWidth="1"/>
    <col min="11" max="11" width="13.21875" style="21" customWidth="1"/>
    <col min="12" max="16384" width="8.88671875" style="21"/>
  </cols>
  <sheetData>
    <row r="1" spans="1:11">
      <c r="A1" s="18"/>
      <c r="B1" s="18"/>
      <c r="C1" s="19"/>
      <c r="D1" s="18"/>
      <c r="E1" s="18"/>
      <c r="F1" s="18"/>
      <c r="G1" s="18"/>
      <c r="H1" s="18"/>
      <c r="I1" s="18"/>
      <c r="J1" s="18"/>
      <c r="K1" s="20" t="s">
        <v>102</v>
      </c>
    </row>
    <row r="2" spans="1:11">
      <c r="A2" s="18"/>
      <c r="B2" s="18" t="s">
        <v>969</v>
      </c>
      <c r="C2" s="18"/>
      <c r="D2" s="18"/>
      <c r="E2" s="18"/>
      <c r="F2" s="18"/>
      <c r="G2" s="18"/>
      <c r="H2" s="18"/>
      <c r="I2" s="18"/>
      <c r="J2" s="18"/>
      <c r="K2" s="18"/>
    </row>
    <row r="3" spans="1:11">
      <c r="A3" s="3"/>
      <c r="B3" s="22" t="s">
        <v>1</v>
      </c>
      <c r="C3" s="23"/>
      <c r="D3" s="24" t="s">
        <v>72</v>
      </c>
      <c r="E3" s="22"/>
      <c r="F3" s="22"/>
      <c r="G3" s="22"/>
      <c r="H3" s="25"/>
      <c r="I3" s="18"/>
      <c r="J3" s="25"/>
      <c r="K3" s="26" t="s">
        <v>1650</v>
      </c>
    </row>
    <row r="4" spans="1:11">
      <c r="A4" s="3"/>
      <c r="C4" s="4"/>
      <c r="D4" s="27" t="s">
        <v>98</v>
      </c>
      <c r="E4" s="4"/>
      <c r="F4" s="4"/>
      <c r="G4" s="4"/>
      <c r="H4" s="25"/>
      <c r="I4" s="25"/>
      <c r="J4" s="25"/>
      <c r="K4" s="25"/>
    </row>
    <row r="5" spans="1:11" ht="15.75">
      <c r="A5" s="3"/>
      <c r="B5" s="28"/>
      <c r="C5" s="25"/>
      <c r="D5" s="29" t="s">
        <v>681</v>
      </c>
      <c r="E5" s="25"/>
      <c r="F5" s="25"/>
      <c r="G5" s="25"/>
      <c r="H5" s="25"/>
      <c r="I5" s="25"/>
      <c r="J5" s="25"/>
      <c r="K5" s="25"/>
    </row>
    <row r="6" spans="1:11" ht="13.5">
      <c r="B6" s="28"/>
      <c r="J6" s="30"/>
      <c r="K6" s="30"/>
    </row>
    <row r="7" spans="1:11">
      <c r="A7" s="24"/>
      <c r="C7" s="25"/>
      <c r="D7" s="31"/>
      <c r="E7" s="25"/>
      <c r="F7" s="25"/>
      <c r="G7" s="25"/>
      <c r="H7" s="25"/>
      <c r="I7" s="32"/>
      <c r="J7" s="25"/>
      <c r="K7" s="25"/>
    </row>
    <row r="8" spans="1:11">
      <c r="A8" s="24"/>
      <c r="B8" s="24" t="s">
        <v>3</v>
      </c>
      <c r="C8" s="24" t="s">
        <v>4</v>
      </c>
      <c r="D8" s="24" t="s">
        <v>5</v>
      </c>
      <c r="E8" s="4" t="s">
        <v>2</v>
      </c>
      <c r="F8" s="4"/>
      <c r="G8" s="31" t="s">
        <v>6</v>
      </c>
      <c r="H8" s="4"/>
      <c r="I8" s="33" t="s">
        <v>7</v>
      </c>
      <c r="J8" s="25"/>
      <c r="K8" s="25"/>
    </row>
    <row r="9" spans="1:11">
      <c r="A9" s="24" t="s">
        <v>8</v>
      </c>
      <c r="B9" s="25"/>
      <c r="C9" s="25"/>
      <c r="D9" s="34"/>
      <c r="E9" s="25"/>
      <c r="F9" s="25"/>
      <c r="G9" s="25"/>
      <c r="H9" s="25"/>
      <c r="I9" s="33" t="s">
        <v>9</v>
      </c>
      <c r="J9" s="25"/>
      <c r="K9" s="25"/>
    </row>
    <row r="10" spans="1:11" ht="13.5" thickBot="1">
      <c r="A10" s="35" t="s">
        <v>10</v>
      </c>
      <c r="B10" s="25"/>
      <c r="C10" s="25"/>
      <c r="D10" s="25"/>
      <c r="E10" s="25"/>
      <c r="F10" s="25"/>
      <c r="G10" s="25"/>
      <c r="H10" s="25"/>
      <c r="I10" s="36" t="s">
        <v>11</v>
      </c>
      <c r="J10" s="25"/>
      <c r="K10" s="25"/>
    </row>
    <row r="11" spans="1:11">
      <c r="A11" s="24">
        <v>1</v>
      </c>
      <c r="B11" s="25" t="s">
        <v>215</v>
      </c>
      <c r="C11" s="25" t="str">
        <f>"(page 3, line "&amp;A170&amp;")"</f>
        <v>(page 3, line 48)</v>
      </c>
      <c r="D11" s="37"/>
      <c r="E11" s="25"/>
      <c r="F11" s="25"/>
      <c r="G11" s="25"/>
      <c r="H11" s="25"/>
      <c r="I11" s="32">
        <f>+I170</f>
        <v>198830583.15328091</v>
      </c>
      <c r="J11" s="25"/>
      <c r="K11" s="38"/>
    </row>
    <row r="12" spans="1:11">
      <c r="A12" s="24" t="s">
        <v>1263</v>
      </c>
      <c r="B12" s="21" t="s">
        <v>1264</v>
      </c>
      <c r="C12" s="25" t="s">
        <v>1265</v>
      </c>
      <c r="D12" s="25"/>
      <c r="E12" s="25"/>
      <c r="F12" s="25"/>
      <c r="G12" s="25"/>
      <c r="H12" s="25"/>
      <c r="I12" s="39">
        <f>-'1-Project Rev Req'!S64</f>
        <v>850000</v>
      </c>
      <c r="J12" s="25"/>
      <c r="K12" s="32"/>
    </row>
    <row r="13" spans="1:11" ht="13.5" thickBot="1">
      <c r="A13" s="24" t="s">
        <v>2</v>
      </c>
      <c r="C13" s="4"/>
      <c r="D13" s="35" t="s">
        <v>13</v>
      </c>
      <c r="E13" s="4"/>
      <c r="F13" s="40" t="s">
        <v>14</v>
      </c>
      <c r="G13" s="40"/>
      <c r="H13" s="25"/>
      <c r="I13" s="32"/>
      <c r="J13" s="25"/>
      <c r="K13" s="32"/>
    </row>
    <row r="14" spans="1:11">
      <c r="A14" s="24">
        <f>+A11+1</f>
        <v>2</v>
      </c>
      <c r="B14" s="22" t="s">
        <v>12</v>
      </c>
      <c r="C14" s="4" t="str">
        <f>"Attachment 5A, line "&amp;'5A - Revenue Credits'!A24</f>
        <v>Attachment 5A, line 15</v>
      </c>
      <c r="D14" s="39">
        <f>+'5A - Revenue Credits'!D24</f>
        <v>10105184.6159498</v>
      </c>
      <c r="E14" s="4"/>
      <c r="F14" s="4" t="s">
        <v>15</v>
      </c>
      <c r="G14" s="42">
        <f>I189</f>
        <v>1</v>
      </c>
      <c r="H14" s="43"/>
      <c r="I14" s="39">
        <f>+'5A - Revenue Credits'!D24</f>
        <v>10105184.6159498</v>
      </c>
      <c r="J14" s="25"/>
      <c r="K14" s="32"/>
    </row>
    <row r="15" spans="1:11" ht="13.5" thickBot="1">
      <c r="A15" s="24"/>
      <c r="B15" s="44"/>
      <c r="C15" s="45"/>
      <c r="D15" s="39"/>
      <c r="E15" s="4"/>
      <c r="F15" s="4"/>
      <c r="G15" s="41"/>
      <c r="H15" s="43"/>
      <c r="I15" s="46"/>
      <c r="J15" s="25"/>
      <c r="K15" s="32"/>
    </row>
    <row r="16" spans="1:11" ht="13.5" thickBot="1">
      <c r="A16" s="24">
        <f>+A14+1</f>
        <v>3</v>
      </c>
      <c r="B16" s="22" t="s">
        <v>16</v>
      </c>
      <c r="C16" s="25" t="s">
        <v>1269</v>
      </c>
      <c r="D16" s="47" t="s">
        <v>2</v>
      </c>
      <c r="E16" s="4"/>
      <c r="F16" s="4"/>
      <c r="G16" s="4"/>
      <c r="H16" s="4"/>
      <c r="I16" s="48">
        <f>+I11-I14-I12</f>
        <v>187875398.5373311</v>
      </c>
      <c r="J16" s="25"/>
      <c r="K16" s="49"/>
    </row>
    <row r="17" spans="1:11" ht="13.5" thickTop="1">
      <c r="A17" s="24"/>
      <c r="B17" s="3"/>
      <c r="C17" s="25"/>
      <c r="D17" s="47"/>
      <c r="E17" s="4"/>
      <c r="F17" s="4"/>
      <c r="G17" s="4"/>
      <c r="H17" s="4"/>
      <c r="I17" s="39"/>
      <c r="J17" s="25"/>
      <c r="K17" s="25"/>
    </row>
    <row r="18" spans="1:11">
      <c r="A18" s="24">
        <f>+A16+1</f>
        <v>4</v>
      </c>
      <c r="B18" s="3" t="s">
        <v>439</v>
      </c>
      <c r="C18" s="50" t="s">
        <v>1063</v>
      </c>
      <c r="D18" s="51"/>
      <c r="E18" s="52"/>
      <c r="F18" s="52"/>
      <c r="G18" s="52"/>
      <c r="H18" s="52"/>
      <c r="I18" s="53">
        <f>+'1-Project Rev Req'!Q95-'1-Project Rev Req'!Q66++'1-Project Rev Req'!S95-'1-Project Rev Req'!S66</f>
        <v>30435446.556271125</v>
      </c>
      <c r="J18" s="54"/>
      <c r="K18" s="54"/>
    </row>
    <row r="19" spans="1:11">
      <c r="A19" s="24">
        <f>+A18+1</f>
        <v>5</v>
      </c>
      <c r="B19" s="55" t="s">
        <v>441</v>
      </c>
      <c r="C19" s="50" t="s">
        <v>1064</v>
      </c>
      <c r="D19" s="51"/>
      <c r="E19" s="52"/>
      <c r="F19" s="52"/>
      <c r="G19" s="52"/>
      <c r="H19" s="52"/>
      <c r="I19" s="53">
        <f>+'1-Project Rev Req'!R95-'1-Project Rev Req'!R66</f>
        <v>-4696183.8058441766</v>
      </c>
      <c r="J19" s="54"/>
      <c r="K19" s="54"/>
    </row>
    <row r="20" spans="1:11">
      <c r="A20" s="24">
        <f>+A19+1</f>
        <v>6</v>
      </c>
      <c r="B20" s="3" t="s">
        <v>442</v>
      </c>
      <c r="C20" s="50" t="s">
        <v>1065</v>
      </c>
      <c r="D20" s="51"/>
      <c r="E20" s="52"/>
      <c r="F20" s="52"/>
      <c r="G20" s="52"/>
      <c r="H20" s="52"/>
      <c r="I20" s="56">
        <f>+I18+I19</f>
        <v>25739262.750426948</v>
      </c>
      <c r="J20" s="54"/>
      <c r="K20" s="54"/>
    </row>
    <row r="21" spans="1:11">
      <c r="A21" s="57"/>
      <c r="C21" s="58"/>
      <c r="D21" s="59"/>
      <c r="E21" s="50"/>
      <c r="F21" s="60"/>
      <c r="G21" s="61"/>
      <c r="H21" s="50"/>
      <c r="I21" s="53"/>
      <c r="J21" s="62"/>
      <c r="K21" s="54"/>
    </row>
    <row r="22" spans="1:11">
      <c r="A22" s="57">
        <f>+A20+1</f>
        <v>7</v>
      </c>
      <c r="B22" s="3" t="s">
        <v>440</v>
      </c>
      <c r="C22" s="50" t="s">
        <v>1123</v>
      </c>
      <c r="D22" s="63"/>
      <c r="E22" s="63"/>
      <c r="F22" s="63"/>
      <c r="G22" s="63"/>
      <c r="H22" s="63"/>
      <c r="I22" s="53">
        <f>+'1-Project Rev Req'!Q66++'1-Project Rev Req'!S66-I14</f>
        <v>157439951.98106</v>
      </c>
      <c r="J22" s="62"/>
      <c r="K22" s="64"/>
    </row>
    <row r="23" spans="1:11">
      <c r="A23" s="57">
        <f>+A22+1</f>
        <v>8</v>
      </c>
      <c r="B23" s="55" t="s">
        <v>444</v>
      </c>
      <c r="C23" s="50" t="s">
        <v>756</v>
      </c>
      <c r="D23" s="63"/>
      <c r="E23" s="65"/>
      <c r="F23" s="65"/>
      <c r="G23" s="65"/>
      <c r="H23" s="65"/>
      <c r="I23" s="66">
        <f>+'1-Project Rev Req'!R66</f>
        <v>-22402307.010116331</v>
      </c>
      <c r="J23" s="62"/>
      <c r="K23" s="54"/>
    </row>
    <row r="24" spans="1:11">
      <c r="A24" s="57">
        <f>+A23+1</f>
        <v>9</v>
      </c>
      <c r="B24" s="3" t="s">
        <v>443</v>
      </c>
      <c r="C24" s="50" t="s">
        <v>1134</v>
      </c>
      <c r="D24" s="54"/>
      <c r="E24" s="54"/>
      <c r="F24" s="67"/>
      <c r="G24" s="54"/>
      <c r="H24" s="54"/>
      <c r="I24" s="56">
        <f>+I22+I23</f>
        <v>135037644.97094366</v>
      </c>
      <c r="J24" s="54"/>
      <c r="K24" s="64"/>
    </row>
    <row r="25" spans="1:11">
      <c r="A25" s="68"/>
      <c r="B25" s="69"/>
      <c r="C25" s="54"/>
      <c r="D25" s="54"/>
      <c r="E25" s="54"/>
      <c r="F25" s="67"/>
      <c r="G25" s="54"/>
      <c r="H25" s="54"/>
      <c r="I25" s="44"/>
      <c r="J25" s="54"/>
      <c r="K25" s="54"/>
    </row>
    <row r="26" spans="1:11">
      <c r="A26" s="68">
        <v>10</v>
      </c>
      <c r="B26" s="44" t="s">
        <v>663</v>
      </c>
      <c r="C26" s="54" t="s">
        <v>757</v>
      </c>
      <c r="D26" s="54"/>
      <c r="E26" s="54"/>
      <c r="F26" s="54"/>
      <c r="G26" s="54"/>
      <c r="H26" s="54"/>
      <c r="I26" s="56">
        <f>+'1-Project Rev Req'!P95</f>
        <v>0</v>
      </c>
      <c r="J26" s="54"/>
      <c r="K26" s="54"/>
    </row>
    <row r="27" spans="1:11">
      <c r="A27" s="68"/>
      <c r="B27" s="44"/>
      <c r="C27" s="54"/>
      <c r="D27" s="54"/>
      <c r="E27" s="54"/>
      <c r="F27" s="54"/>
      <c r="G27" s="54"/>
      <c r="H27" s="54"/>
      <c r="I27" s="44"/>
      <c r="J27" s="54"/>
      <c r="K27" s="54"/>
    </row>
    <row r="28" spans="1:11">
      <c r="A28" s="68">
        <v>11</v>
      </c>
      <c r="B28" s="69" t="s">
        <v>1125</v>
      </c>
      <c r="C28" s="54" t="s">
        <v>1126</v>
      </c>
      <c r="D28" s="70"/>
      <c r="E28" s="70"/>
      <c r="F28" s="70"/>
      <c r="G28" s="70"/>
      <c r="H28" s="70"/>
      <c r="I28" s="876">
        <v>8428.3160000000007</v>
      </c>
      <c r="J28" s="70"/>
      <c r="K28" s="54"/>
    </row>
    <row r="29" spans="1:11">
      <c r="A29" s="24"/>
      <c r="B29" s="22"/>
      <c r="C29" s="25"/>
      <c r="D29" s="71"/>
      <c r="E29" s="71"/>
      <c r="F29" s="71"/>
      <c r="G29" s="71"/>
      <c r="H29" s="71"/>
      <c r="I29" s="71"/>
      <c r="J29" s="71"/>
      <c r="K29" s="25"/>
    </row>
    <row r="30" spans="1:11">
      <c r="A30" s="24">
        <v>12</v>
      </c>
      <c r="B30" s="22" t="s">
        <v>1127</v>
      </c>
      <c r="C30" s="25" t="s">
        <v>1128</v>
      </c>
      <c r="D30" s="71"/>
      <c r="E30" s="71"/>
      <c r="F30" s="71"/>
      <c r="G30" s="71"/>
      <c r="H30" s="71"/>
      <c r="I30" s="72">
        <f>+I24/I28</f>
        <v>16021.901050096323</v>
      </c>
      <c r="J30" s="71"/>
      <c r="K30" s="25"/>
    </row>
    <row r="31" spans="1:11">
      <c r="A31" s="24"/>
      <c r="B31" s="22"/>
      <c r="C31" s="25"/>
      <c r="D31" s="73"/>
      <c r="E31" s="71"/>
      <c r="F31" s="71"/>
      <c r="G31" s="71"/>
      <c r="H31" s="71"/>
      <c r="I31" s="71"/>
      <c r="J31" s="71"/>
      <c r="K31" s="25"/>
    </row>
    <row r="32" spans="1:11">
      <c r="A32" s="24"/>
      <c r="B32" s="22"/>
      <c r="C32" s="25"/>
      <c r="D32" s="71"/>
      <c r="E32" s="71"/>
      <c r="F32" s="71"/>
      <c r="G32" s="71"/>
      <c r="H32" s="71"/>
      <c r="I32" s="71"/>
      <c r="J32" s="71"/>
      <c r="K32" s="25"/>
    </row>
    <row r="33" spans="1:11">
      <c r="A33" s="24"/>
      <c r="B33" s="22"/>
      <c r="C33" s="25"/>
      <c r="D33" s="71"/>
      <c r="E33" s="71"/>
      <c r="F33" s="71"/>
      <c r="G33" s="71"/>
      <c r="H33" s="71"/>
      <c r="I33" s="71"/>
      <c r="J33" s="71"/>
      <c r="K33" s="25"/>
    </row>
    <row r="34" spans="1:11">
      <c r="A34" s="24"/>
      <c r="B34" s="22"/>
      <c r="C34" s="25"/>
      <c r="D34" s="71"/>
      <c r="E34" s="71"/>
      <c r="F34" s="71"/>
      <c r="G34" s="71"/>
      <c r="H34" s="71"/>
      <c r="I34" s="71"/>
      <c r="J34" s="71"/>
      <c r="K34" s="25"/>
    </row>
    <row r="35" spans="1:11">
      <c r="A35" s="3"/>
      <c r="B35" s="22"/>
      <c r="C35" s="25"/>
      <c r="D35" s="25"/>
      <c r="E35" s="25"/>
      <c r="F35" s="25"/>
      <c r="G35" s="25"/>
      <c r="H35" s="25"/>
      <c r="I35" s="74"/>
      <c r="J35" s="25"/>
      <c r="K35" s="75" t="s">
        <v>105</v>
      </c>
    </row>
    <row r="36" spans="1:11">
      <c r="A36" s="3"/>
      <c r="B36" s="25"/>
      <c r="C36" s="25"/>
      <c r="D36" s="25"/>
      <c r="E36" s="25"/>
      <c r="F36" s="25"/>
      <c r="G36" s="25"/>
      <c r="H36" s="25"/>
      <c r="I36" s="25"/>
      <c r="J36" s="25"/>
      <c r="K36" s="25"/>
    </row>
    <row r="37" spans="1:11">
      <c r="A37" s="3"/>
      <c r="B37" s="22" t="s">
        <v>1</v>
      </c>
      <c r="C37" s="22"/>
      <c r="D37" s="24" t="s">
        <v>72</v>
      </c>
      <c r="E37" s="22"/>
      <c r="F37" s="22"/>
      <c r="G37" s="22"/>
      <c r="H37" s="22"/>
      <c r="I37" s="18"/>
      <c r="J37" s="22"/>
      <c r="K37" s="75" t="str">
        <f>K3</f>
        <v>For  the 12 months ended 12/31/2020</v>
      </c>
    </row>
    <row r="38" spans="1:11">
      <c r="A38" s="3"/>
      <c r="B38" s="22"/>
      <c r="C38" s="4"/>
      <c r="D38" s="27" t="s">
        <v>98</v>
      </c>
      <c r="E38" s="4"/>
      <c r="F38" s="4"/>
      <c r="G38" s="4"/>
      <c r="H38" s="4"/>
      <c r="I38" s="4"/>
      <c r="J38" s="4"/>
      <c r="K38" s="4"/>
    </row>
    <row r="39" spans="1:11">
      <c r="A39" s="3"/>
      <c r="B39" s="22"/>
      <c r="C39" s="4"/>
      <c r="D39" s="27" t="str">
        <f>+D5</f>
        <v>PECO Energy Company</v>
      </c>
      <c r="E39" s="4"/>
      <c r="F39" s="4"/>
      <c r="G39" s="4" t="s">
        <v>2</v>
      </c>
      <c r="H39" s="4"/>
      <c r="I39" s="4"/>
      <c r="J39" s="4"/>
      <c r="K39" s="4"/>
    </row>
    <row r="40" spans="1:11">
      <c r="A40" s="1022"/>
      <c r="B40" s="1022"/>
      <c r="C40" s="1022"/>
      <c r="D40" s="1022"/>
      <c r="E40" s="1022"/>
      <c r="F40" s="1022"/>
      <c r="G40" s="1022"/>
      <c r="H40" s="1022"/>
      <c r="I40" s="1022"/>
      <c r="J40" s="1022"/>
      <c r="K40" s="1022"/>
    </row>
    <row r="41" spans="1:11">
      <c r="A41" s="3"/>
      <c r="B41" s="24" t="s">
        <v>3</v>
      </c>
      <c r="C41" s="24" t="s">
        <v>4</v>
      </c>
      <c r="D41" s="24" t="s">
        <v>5</v>
      </c>
      <c r="E41" s="4" t="s">
        <v>2</v>
      </c>
      <c r="F41" s="4"/>
      <c r="G41" s="31" t="s">
        <v>6</v>
      </c>
      <c r="H41" s="4"/>
      <c r="I41" s="31" t="s">
        <v>7</v>
      </c>
      <c r="J41" s="4"/>
      <c r="K41" s="24"/>
    </row>
    <row r="42" spans="1:11">
      <c r="A42" s="3"/>
      <c r="B42" s="22"/>
      <c r="C42" s="76"/>
      <c r="D42" s="4"/>
      <c r="E42" s="4"/>
      <c r="F42" s="4"/>
      <c r="G42" s="24"/>
      <c r="H42" s="4"/>
      <c r="I42" s="77" t="s">
        <v>17</v>
      </c>
      <c r="J42" s="4"/>
      <c r="K42" s="24"/>
    </row>
    <row r="43" spans="1:11">
      <c r="A43" s="24" t="s">
        <v>8</v>
      </c>
      <c r="B43" s="22"/>
      <c r="C43" s="78" t="s">
        <v>207</v>
      </c>
      <c r="D43" s="77" t="s">
        <v>19</v>
      </c>
      <c r="E43" s="79"/>
      <c r="F43" s="77" t="s">
        <v>20</v>
      </c>
      <c r="G43" s="3"/>
      <c r="H43" s="79"/>
      <c r="I43" s="24" t="s">
        <v>21</v>
      </c>
      <c r="J43" s="4"/>
      <c r="K43" s="24"/>
    </row>
    <row r="44" spans="1:11" ht="13.5" thickBot="1">
      <c r="A44" s="35" t="s">
        <v>10</v>
      </c>
      <c r="B44" s="80" t="s">
        <v>313</v>
      </c>
      <c r="C44" s="4"/>
      <c r="D44" s="4"/>
      <c r="E44" s="4"/>
      <c r="F44" s="4"/>
      <c r="G44" s="4"/>
      <c r="H44" s="4"/>
      <c r="I44" s="4"/>
      <c r="J44" s="4"/>
      <c r="K44" s="4"/>
    </row>
    <row r="45" spans="1:11">
      <c r="A45" s="24"/>
      <c r="B45" s="22" t="s">
        <v>361</v>
      </c>
      <c r="C45" s="4"/>
      <c r="D45" s="4"/>
      <c r="E45" s="4"/>
      <c r="F45" s="4"/>
      <c r="G45" s="4"/>
      <c r="H45" s="4"/>
      <c r="I45" s="4"/>
      <c r="J45" s="4"/>
      <c r="K45" s="4"/>
    </row>
    <row r="46" spans="1:11">
      <c r="A46" s="24">
        <v>1</v>
      </c>
      <c r="B46" s="22" t="s">
        <v>264</v>
      </c>
      <c r="C46" s="43" t="s">
        <v>427</v>
      </c>
      <c r="D46" s="877">
        <v>0</v>
      </c>
      <c r="E46" s="4"/>
      <c r="F46" s="4" t="s">
        <v>22</v>
      </c>
      <c r="G46" s="81" t="s">
        <v>2</v>
      </c>
      <c r="H46" s="4"/>
      <c r="I46" s="39">
        <v>0</v>
      </c>
      <c r="J46" s="4"/>
      <c r="K46" s="4"/>
    </row>
    <row r="47" spans="1:11">
      <c r="A47" s="24">
        <f>+A46+1</f>
        <v>2</v>
      </c>
      <c r="B47" s="22" t="s">
        <v>23</v>
      </c>
      <c r="C47" s="43" t="s">
        <v>266</v>
      </c>
      <c r="D47" s="39">
        <f>'4- Rate Base'!C24</f>
        <v>1723143700.8466916</v>
      </c>
      <c r="E47" s="4"/>
      <c r="F47" s="4" t="s">
        <v>15</v>
      </c>
      <c r="G47" s="42">
        <f>I189</f>
        <v>1</v>
      </c>
      <c r="H47" s="43"/>
      <c r="I47" s="39">
        <f>+G47*D47</f>
        <v>1723143700.8466916</v>
      </c>
      <c r="J47" s="4"/>
      <c r="K47" s="4"/>
    </row>
    <row r="48" spans="1:11">
      <c r="A48" s="24">
        <f>+A47+1</f>
        <v>3</v>
      </c>
      <c r="B48" s="22" t="s">
        <v>265</v>
      </c>
      <c r="C48" s="43" t="s">
        <v>268</v>
      </c>
      <c r="D48" s="877">
        <v>7008706131.8787889</v>
      </c>
      <c r="E48" s="4"/>
      <c r="F48" s="4" t="s">
        <v>22</v>
      </c>
      <c r="G48" s="42">
        <v>0</v>
      </c>
      <c r="H48" s="43"/>
      <c r="I48" s="39">
        <f>+G48*D48</f>
        <v>0</v>
      </c>
      <c r="J48" s="4"/>
      <c r="K48" s="4"/>
    </row>
    <row r="49" spans="1:11">
      <c r="A49" s="24">
        <f>+A48+1</f>
        <v>4</v>
      </c>
      <c r="B49" s="22" t="s">
        <v>714</v>
      </c>
      <c r="C49" s="43" t="s">
        <v>267</v>
      </c>
      <c r="D49" s="39">
        <f>'4- Rate Base'!D24</f>
        <v>286311835.59076923</v>
      </c>
      <c r="E49" s="4"/>
      <c r="F49" s="4" t="s">
        <v>24</v>
      </c>
      <c r="G49" s="42">
        <f>I197</f>
        <v>9.4490855863003556E-2</v>
      </c>
      <c r="H49" s="43"/>
      <c r="I49" s="39">
        <f>+G49*D49</f>
        <v>27053850.388679348</v>
      </c>
      <c r="J49" s="4"/>
      <c r="K49" s="4"/>
    </row>
    <row r="50" spans="1:11">
      <c r="A50" s="24">
        <f t="shared" ref="A50:A51" si="0">+A49+1</f>
        <v>5</v>
      </c>
      <c r="B50" s="22" t="s">
        <v>715</v>
      </c>
      <c r="C50" s="43" t="s">
        <v>1066</v>
      </c>
      <c r="D50" s="39">
        <f>+'4D - Intangible Pnt'!T27</f>
        <v>194590044.93860167</v>
      </c>
      <c r="E50" s="4"/>
      <c r="F50" s="4" t="s">
        <v>76</v>
      </c>
      <c r="G50" s="42"/>
      <c r="H50" s="43"/>
      <c r="I50" s="53">
        <f>'4D - Intangible Pnt'!T29</f>
        <v>20263800.486216083</v>
      </c>
      <c r="J50" s="4"/>
      <c r="K50" s="4"/>
    </row>
    <row r="51" spans="1:11">
      <c r="A51" s="24">
        <f t="shared" si="0"/>
        <v>6</v>
      </c>
      <c r="B51" s="22" t="s">
        <v>1120</v>
      </c>
      <c r="C51" s="43" t="s">
        <v>1067</v>
      </c>
      <c r="D51" s="53">
        <f>'4- Rate Base'!E24</f>
        <v>723522758.40973258</v>
      </c>
      <c r="E51" s="4"/>
      <c r="F51" s="4" t="str">
        <f>F49</f>
        <v>W/S</v>
      </c>
      <c r="G51" s="42">
        <f>G49</f>
        <v>9.4490855863003556E-2</v>
      </c>
      <c r="H51" s="43"/>
      <c r="I51" s="53">
        <f>+G51*D51</f>
        <v>68366284.678496778</v>
      </c>
      <c r="J51" s="4"/>
      <c r="K51" s="4"/>
    </row>
    <row r="52" spans="1:11" ht="13.5" thickBot="1">
      <c r="A52" s="24">
        <f t="shared" ref="A52:A53" si="1">+A51+1</f>
        <v>7</v>
      </c>
      <c r="B52" s="22" t="s">
        <v>1122</v>
      </c>
      <c r="C52" s="4" t="s">
        <v>1068</v>
      </c>
      <c r="D52" s="46">
        <f>-'4E COA'!H34</f>
        <v>-3185567.8444800004</v>
      </c>
      <c r="E52" s="4"/>
      <c r="F52" s="4" t="str">
        <f>F51</f>
        <v>W/S</v>
      </c>
      <c r="G52" s="42">
        <f>G51</f>
        <v>9.4490855863003556E-2</v>
      </c>
      <c r="H52" s="43"/>
      <c r="I52" s="46">
        <f>D52*G52</f>
        <v>-301007.03203457867</v>
      </c>
      <c r="J52" s="4"/>
      <c r="K52" s="4"/>
    </row>
    <row r="53" spans="1:11">
      <c r="A53" s="24">
        <f t="shared" si="1"/>
        <v>8</v>
      </c>
      <c r="B53" s="22" t="s">
        <v>219</v>
      </c>
      <c r="C53" s="4" t="s">
        <v>1069</v>
      </c>
      <c r="D53" s="39">
        <f>SUM(D46:D52)</f>
        <v>9933088903.8201046</v>
      </c>
      <c r="E53" s="4"/>
      <c r="F53" s="4" t="s">
        <v>25</v>
      </c>
      <c r="G53" s="82">
        <f>IF(I53&gt;0,I53/D53,0)</f>
        <v>0.18509112796332486</v>
      </c>
      <c r="H53" s="43"/>
      <c r="I53" s="39">
        <f>SUM(I46:I52)</f>
        <v>1838526629.3680491</v>
      </c>
      <c r="J53" s="4"/>
      <c r="K53" s="83"/>
    </row>
    <row r="54" spans="1:11">
      <c r="A54" s="24"/>
      <c r="B54" s="22"/>
      <c r="C54" s="4"/>
      <c r="D54" s="39"/>
      <c r="E54" s="4"/>
      <c r="F54" s="4"/>
      <c r="G54" s="82"/>
      <c r="H54" s="4"/>
      <c r="I54" s="39"/>
      <c r="J54" s="4"/>
      <c r="K54" s="83"/>
    </row>
    <row r="55" spans="1:11">
      <c r="A55" s="24">
        <f>+A53+1</f>
        <v>9</v>
      </c>
      <c r="B55" s="22" t="s">
        <v>362</v>
      </c>
      <c r="C55" s="4"/>
      <c r="D55" s="39"/>
      <c r="E55" s="4"/>
      <c r="F55" s="4"/>
      <c r="G55" s="42"/>
      <c r="H55" s="4"/>
      <c r="I55" s="39"/>
      <c r="J55" s="4"/>
      <c r="K55" s="4"/>
    </row>
    <row r="56" spans="1:11">
      <c r="A56" s="24">
        <f>+A55+1</f>
        <v>10</v>
      </c>
      <c r="B56" s="22" t="s">
        <v>264</v>
      </c>
      <c r="C56" s="4" t="s">
        <v>269</v>
      </c>
      <c r="D56" s="877">
        <v>0</v>
      </c>
      <c r="E56" s="4"/>
      <c r="F56" s="4" t="s">
        <v>22</v>
      </c>
      <c r="G56" s="42" t="s">
        <v>2</v>
      </c>
      <c r="H56" s="4"/>
      <c r="I56" s="39">
        <v>0</v>
      </c>
      <c r="J56" s="4"/>
      <c r="K56" s="4"/>
    </row>
    <row r="57" spans="1:11">
      <c r="A57" s="24">
        <f>+A56+1</f>
        <v>11</v>
      </c>
      <c r="B57" s="22" t="s">
        <v>23</v>
      </c>
      <c r="C57" s="4" t="s">
        <v>1549</v>
      </c>
      <c r="D57" s="39">
        <f>'8 - Depreciation Rates'!G121</f>
        <v>535112730.49414945</v>
      </c>
      <c r="E57" s="4"/>
      <c r="F57" s="4" t="s">
        <v>15</v>
      </c>
      <c r="G57" s="42">
        <f>+G47</f>
        <v>1</v>
      </c>
      <c r="H57" s="43"/>
      <c r="I57" s="39">
        <f>+G57*D57</f>
        <v>535112730.49414945</v>
      </c>
      <c r="J57" s="4"/>
      <c r="K57" s="4"/>
    </row>
    <row r="58" spans="1:11">
      <c r="A58" s="24">
        <f>+A57+1</f>
        <v>12</v>
      </c>
      <c r="B58" s="22" t="s">
        <v>265</v>
      </c>
      <c r="C58" s="4" t="s">
        <v>270</v>
      </c>
      <c r="D58" s="877">
        <v>1859694491.3998244</v>
      </c>
      <c r="E58" s="4"/>
      <c r="F58" s="4" t="s">
        <v>22</v>
      </c>
      <c r="G58" s="42">
        <f>+G48</f>
        <v>0</v>
      </c>
      <c r="H58" s="43"/>
      <c r="I58" s="39">
        <f>+G58*D58</f>
        <v>0</v>
      </c>
      <c r="J58" s="4"/>
      <c r="K58" s="4"/>
    </row>
    <row r="59" spans="1:11">
      <c r="A59" s="24">
        <f>+A58+1</f>
        <v>13</v>
      </c>
      <c r="B59" s="22" t="s">
        <v>714</v>
      </c>
      <c r="C59" s="4" t="s">
        <v>1550</v>
      </c>
      <c r="D59" s="39">
        <f>'8 - Depreciation Rates'!G122</f>
        <v>92316070.638200104</v>
      </c>
      <c r="E59" s="4"/>
      <c r="F59" s="4" t="s">
        <v>24</v>
      </c>
      <c r="G59" s="42">
        <f>+G49</f>
        <v>9.4490855863003556E-2</v>
      </c>
      <c r="H59" s="43"/>
      <c r="I59" s="39">
        <f>+G59*D59</f>
        <v>8723024.5245130211</v>
      </c>
      <c r="J59" s="4"/>
      <c r="K59" s="4"/>
    </row>
    <row r="60" spans="1:11">
      <c r="A60" s="24">
        <f t="shared" ref="A60:A61" si="2">+A59+1</f>
        <v>14</v>
      </c>
      <c r="B60" s="22" t="s">
        <v>715</v>
      </c>
      <c r="C60" s="4" t="s">
        <v>1551</v>
      </c>
      <c r="D60" s="39">
        <f>'8 - Depreciation Rates'!G127</f>
        <v>139223656.0318861</v>
      </c>
      <c r="E60" s="4"/>
      <c r="F60" s="4" t="s">
        <v>76</v>
      </c>
      <c r="G60" s="42"/>
      <c r="H60" s="43"/>
      <c r="I60" s="53">
        <f>'8 - Depreciation Rates'!I127</f>
        <v>16141387.657385977</v>
      </c>
      <c r="J60" s="4"/>
      <c r="K60" s="4"/>
    </row>
    <row r="61" spans="1:11">
      <c r="A61" s="24">
        <f t="shared" si="2"/>
        <v>15</v>
      </c>
      <c r="B61" s="22" t="s">
        <v>1120</v>
      </c>
      <c r="C61" s="4" t="s">
        <v>1552</v>
      </c>
      <c r="D61" s="53">
        <f>'8 - Depreciation Rates'!G123</f>
        <v>321189525.05836231</v>
      </c>
      <c r="E61" s="4"/>
      <c r="F61" s="4" t="str">
        <f>F52</f>
        <v>W/S</v>
      </c>
      <c r="G61" s="42">
        <f>+G51</f>
        <v>9.4490855863003556E-2</v>
      </c>
      <c r="H61" s="43"/>
      <c r="I61" s="53">
        <f>+G61*D61</f>
        <v>30349473.116996281</v>
      </c>
      <c r="J61" s="4"/>
      <c r="K61" s="4"/>
    </row>
    <row r="62" spans="1:11" ht="13.5" thickBot="1">
      <c r="A62" s="24">
        <f t="shared" ref="A62:A63" si="3">+A61+1</f>
        <v>16</v>
      </c>
      <c r="B62" s="22" t="s">
        <v>1122</v>
      </c>
      <c r="C62" s="4" t="s">
        <v>1070</v>
      </c>
      <c r="D62" s="46">
        <f>-'4E COA'!H51</f>
        <v>-1681930.7957209148</v>
      </c>
      <c r="E62" s="4"/>
      <c r="F62" s="4" t="str">
        <f>F61</f>
        <v>W/S</v>
      </c>
      <c r="G62" s="42">
        <f>G61</f>
        <v>9.4490855863003556E-2</v>
      </c>
      <c r="H62" s="43"/>
      <c r="I62" s="46">
        <f>+G62*D62</f>
        <v>-158927.08039001183</v>
      </c>
      <c r="J62" s="4"/>
      <c r="K62" s="4"/>
    </row>
    <row r="63" spans="1:11">
      <c r="A63" s="24">
        <f t="shared" si="3"/>
        <v>17</v>
      </c>
      <c r="B63" s="22" t="s">
        <v>220</v>
      </c>
      <c r="C63" s="4" t="s">
        <v>1071</v>
      </c>
      <c r="D63" s="39">
        <f>SUM(D56:D62)</f>
        <v>2945854542.8267016</v>
      </c>
      <c r="E63" s="4"/>
      <c r="F63" s="4"/>
      <c r="G63" s="82"/>
      <c r="H63" s="43"/>
      <c r="I63" s="39">
        <f>SUM(I56:I62)</f>
        <v>590167688.71265471</v>
      </c>
      <c r="J63" s="4"/>
      <c r="K63" s="4"/>
    </row>
    <row r="64" spans="1:11">
      <c r="A64" s="24"/>
      <c r="B64" s="3"/>
      <c r="C64" s="4" t="s">
        <v>2</v>
      </c>
      <c r="D64" s="39"/>
      <c r="E64" s="4"/>
      <c r="F64" s="4"/>
      <c r="G64" s="82"/>
      <c r="H64" s="4"/>
      <c r="I64" s="39"/>
      <c r="J64" s="4"/>
      <c r="K64" s="83"/>
    </row>
    <row r="65" spans="1:11">
      <c r="A65" s="24">
        <f>+A63+1</f>
        <v>18</v>
      </c>
      <c r="B65" s="22" t="s">
        <v>26</v>
      </c>
      <c r="C65" s="4"/>
      <c r="D65" s="39"/>
      <c r="E65" s="4"/>
      <c r="F65" s="4"/>
      <c r="G65" s="42"/>
      <c r="H65" s="4"/>
      <c r="I65" s="39"/>
      <c r="J65" s="4"/>
      <c r="K65" s="4"/>
    </row>
    <row r="66" spans="1:11">
      <c r="A66" s="24">
        <f>+A65+1</f>
        <v>19</v>
      </c>
      <c r="B66" s="22" t="s">
        <v>264</v>
      </c>
      <c r="C66" s="4" t="str">
        <f>"(line "&amp;A46&amp;" minus line "&amp;A56&amp;")"</f>
        <v>(line 1 minus line 10)</v>
      </c>
      <c r="D66" s="39">
        <f t="shared" ref="D66:D72" si="4">D46-D56</f>
        <v>0</v>
      </c>
      <c r="E66" s="43"/>
      <c r="F66" s="43"/>
      <c r="G66" s="82"/>
      <c r="H66" s="43"/>
      <c r="I66" s="39">
        <f t="shared" ref="I66:I72" si="5">I46-I56</f>
        <v>0</v>
      </c>
      <c r="J66" s="4"/>
      <c r="K66" s="83"/>
    </row>
    <row r="67" spans="1:11">
      <c r="A67" s="24">
        <f>+A66+1</f>
        <v>20</v>
      </c>
      <c r="B67" s="22" t="s">
        <v>23</v>
      </c>
      <c r="C67" s="4" t="str">
        <f t="shared" ref="C67:C72" si="6">"(line "&amp;A47&amp;" minus line "&amp;A57&amp;")"</f>
        <v>(line 2 minus line 11)</v>
      </c>
      <c r="D67" s="39">
        <f t="shared" si="4"/>
        <v>1188030970.3525422</v>
      </c>
      <c r="E67" s="43"/>
      <c r="F67" s="43"/>
      <c r="G67" s="42"/>
      <c r="H67" s="43"/>
      <c r="I67" s="39">
        <f t="shared" si="5"/>
        <v>1188030970.3525422</v>
      </c>
      <c r="J67" s="4"/>
      <c r="K67" s="83"/>
    </row>
    <row r="68" spans="1:11">
      <c r="A68" s="24">
        <f>+A67+1</f>
        <v>21</v>
      </c>
      <c r="B68" s="22" t="s">
        <v>265</v>
      </c>
      <c r="C68" s="4" t="str">
        <f t="shared" si="6"/>
        <v>(line 3 minus line 12)</v>
      </c>
      <c r="D68" s="39">
        <f t="shared" si="4"/>
        <v>5149011640.4789648</v>
      </c>
      <c r="E68" s="43"/>
      <c r="F68" s="43"/>
      <c r="G68" s="82"/>
      <c r="H68" s="43"/>
      <c r="I68" s="39">
        <f t="shared" si="5"/>
        <v>0</v>
      </c>
      <c r="J68" s="4"/>
      <c r="K68" s="83"/>
    </row>
    <row r="69" spans="1:11">
      <c r="A69" s="24">
        <f>+A68+1</f>
        <v>22</v>
      </c>
      <c r="B69" s="22" t="s">
        <v>714</v>
      </c>
      <c r="C69" s="4" t="str">
        <f t="shared" si="6"/>
        <v>(line 4 minus line 13)</v>
      </c>
      <c r="D69" s="39">
        <f t="shared" si="4"/>
        <v>193995764.95256913</v>
      </c>
      <c r="E69" s="43"/>
      <c r="F69" s="43"/>
      <c r="G69" s="82"/>
      <c r="H69" s="43"/>
      <c r="I69" s="39">
        <f t="shared" si="5"/>
        <v>18330825.864166327</v>
      </c>
      <c r="J69" s="4"/>
      <c r="K69" s="83"/>
    </row>
    <row r="70" spans="1:11">
      <c r="A70" s="24">
        <f t="shared" ref="A70:A71" si="7">+A69+1</f>
        <v>23</v>
      </c>
      <c r="B70" s="22" t="s">
        <v>715</v>
      </c>
      <c r="C70" s="4" t="str">
        <f t="shared" si="6"/>
        <v>(line 5 minus line 14)</v>
      </c>
      <c r="D70" s="39">
        <f t="shared" si="4"/>
        <v>55366388.906715572</v>
      </c>
      <c r="E70" s="43"/>
      <c r="F70" s="43"/>
      <c r="G70" s="82"/>
      <c r="H70" s="43"/>
      <c r="I70" s="39">
        <f t="shared" si="5"/>
        <v>4122412.8288301062</v>
      </c>
      <c r="J70" s="4"/>
      <c r="K70" s="83"/>
    </row>
    <row r="71" spans="1:11">
      <c r="A71" s="24">
        <f t="shared" si="7"/>
        <v>24</v>
      </c>
      <c r="B71" s="22" t="s">
        <v>1120</v>
      </c>
      <c r="C71" s="4" t="str">
        <f t="shared" si="6"/>
        <v>(line 6 minus line 15)</v>
      </c>
      <c r="D71" s="53">
        <f t="shared" si="4"/>
        <v>402333233.35137028</v>
      </c>
      <c r="E71" s="4"/>
      <c r="F71" s="43"/>
      <c r="G71" s="82"/>
      <c r="H71" s="43"/>
      <c r="I71" s="53">
        <f t="shared" si="5"/>
        <v>38016811.561500497</v>
      </c>
      <c r="J71" s="4"/>
      <c r="K71" s="83"/>
    </row>
    <row r="72" spans="1:11" ht="13.5" thickBot="1">
      <c r="A72" s="24">
        <f t="shared" ref="A72:A73" si="8">+A71+1</f>
        <v>25</v>
      </c>
      <c r="B72" s="22" t="s">
        <v>1122</v>
      </c>
      <c r="C72" s="4" t="str">
        <f t="shared" si="6"/>
        <v>(line 7 minus line 16)</v>
      </c>
      <c r="D72" s="46">
        <f t="shared" si="4"/>
        <v>-1503637.0487590856</v>
      </c>
      <c r="E72" s="4"/>
      <c r="F72" s="43"/>
      <c r="G72" s="82"/>
      <c r="H72" s="43"/>
      <c r="I72" s="46">
        <f t="shared" si="5"/>
        <v>-142079.95164456684</v>
      </c>
      <c r="J72" s="4"/>
      <c r="K72" s="83"/>
    </row>
    <row r="73" spans="1:11">
      <c r="A73" s="24">
        <f t="shared" si="8"/>
        <v>26</v>
      </c>
      <c r="B73" s="22" t="s">
        <v>222</v>
      </c>
      <c r="C73" s="4" t="s">
        <v>1072</v>
      </c>
      <c r="D73" s="39">
        <f>SUM(D66:D72)</f>
        <v>6987234360.9934015</v>
      </c>
      <c r="E73" s="4"/>
      <c r="F73" s="4" t="s">
        <v>27</v>
      </c>
      <c r="G73" s="82">
        <f>IF(I73&gt;0,I73/D73,0)</f>
        <v>0.17866281223146355</v>
      </c>
      <c r="H73" s="43"/>
      <c r="I73" s="39">
        <f>SUM(I66:I72)</f>
        <v>1248358940.6553943</v>
      </c>
      <c r="J73" s="4"/>
      <c r="K73" s="4"/>
    </row>
    <row r="74" spans="1:11">
      <c r="A74" s="24"/>
      <c r="B74" s="3"/>
      <c r="C74" s="4"/>
      <c r="D74" s="39"/>
      <c r="E74" s="4"/>
      <c r="F74" s="3"/>
      <c r="G74" s="42"/>
      <c r="H74" s="4"/>
      <c r="I74" s="39"/>
      <c r="J74" s="4"/>
      <c r="K74" s="83"/>
    </row>
    <row r="75" spans="1:11">
      <c r="A75" s="24">
        <f>+A73+1</f>
        <v>27</v>
      </c>
      <c r="B75" s="22" t="s">
        <v>363</v>
      </c>
      <c r="C75" s="4"/>
      <c r="D75" s="39"/>
      <c r="E75" s="4"/>
      <c r="F75" s="4"/>
      <c r="G75" s="42"/>
      <c r="H75" s="4"/>
      <c r="I75" s="39"/>
      <c r="J75" s="4"/>
      <c r="K75" s="4"/>
    </row>
    <row r="76" spans="1:11">
      <c r="A76" s="24">
        <f>+A75+1</f>
        <v>28</v>
      </c>
      <c r="B76" s="22" t="s">
        <v>87</v>
      </c>
      <c r="C76" s="4" t="s">
        <v>1073</v>
      </c>
      <c r="D76" s="39" t="str">
        <f>+'4- Rate Base'!E44</f>
        <v>Zero</v>
      </c>
      <c r="E76" s="4"/>
      <c r="F76" s="4" t="s">
        <v>22</v>
      </c>
      <c r="G76" s="84" t="s">
        <v>106</v>
      </c>
      <c r="H76" s="43"/>
      <c r="I76" s="39">
        <v>0</v>
      </c>
      <c r="J76" s="4"/>
      <c r="K76" s="83"/>
    </row>
    <row r="77" spans="1:11">
      <c r="A77" s="24">
        <f>+A76+1</f>
        <v>29</v>
      </c>
      <c r="B77" s="22" t="s">
        <v>88</v>
      </c>
      <c r="C77" s="4" t="s">
        <v>1135</v>
      </c>
      <c r="D77" s="53">
        <f>'4- Rate Base'!F44</f>
        <v>-211876798.40933394</v>
      </c>
      <c r="E77" s="4"/>
      <c r="F77" s="4" t="s">
        <v>15</v>
      </c>
      <c r="G77" s="42">
        <f>G84</f>
        <v>1</v>
      </c>
      <c r="H77" s="43"/>
      <c r="I77" s="39">
        <f>D77*G77</f>
        <v>-211876798.40933394</v>
      </c>
      <c r="J77" s="4"/>
      <c r="K77" s="83"/>
    </row>
    <row r="78" spans="1:11">
      <c r="A78" s="24">
        <f>+A77+1</f>
        <v>30</v>
      </c>
      <c r="B78" s="22" t="s">
        <v>89</v>
      </c>
      <c r="C78" s="4" t="s">
        <v>1136</v>
      </c>
      <c r="D78" s="53">
        <f>'4- Rate Base'!G44</f>
        <v>-10877541.139514307</v>
      </c>
      <c r="E78" s="4"/>
      <c r="F78" s="4" t="s">
        <v>15</v>
      </c>
      <c r="G78" s="42">
        <f>+G77</f>
        <v>1</v>
      </c>
      <c r="H78" s="43"/>
      <c r="I78" s="39">
        <f>D78*G78</f>
        <v>-10877541.139514307</v>
      </c>
      <c r="J78" s="4"/>
      <c r="K78" s="83"/>
    </row>
    <row r="79" spans="1:11">
      <c r="A79" s="24">
        <f>+A78+1</f>
        <v>31</v>
      </c>
      <c r="B79" s="22" t="s">
        <v>94</v>
      </c>
      <c r="C79" s="4" t="s">
        <v>1137</v>
      </c>
      <c r="D79" s="53">
        <f>'4- Rate Base'!H44</f>
        <v>14605420.952301415</v>
      </c>
      <c r="E79" s="4"/>
      <c r="F79" s="4" t="s">
        <v>15</v>
      </c>
      <c r="G79" s="42">
        <f>+G78</f>
        <v>1</v>
      </c>
      <c r="H79" s="43"/>
      <c r="I79" s="39">
        <f>D79*G79</f>
        <v>14605420.952301415</v>
      </c>
      <c r="J79" s="4"/>
      <c r="K79" s="83"/>
    </row>
    <row r="80" spans="1:11">
      <c r="A80" s="24" t="s">
        <v>1403</v>
      </c>
      <c r="B80" s="22" t="s">
        <v>1406</v>
      </c>
      <c r="C80" s="4" t="s">
        <v>1407</v>
      </c>
      <c r="D80" s="53">
        <f>-'9 - EDIT'!P40</f>
        <v>-79502510.139648303</v>
      </c>
      <c r="E80" s="4"/>
      <c r="F80" s="4" t="s">
        <v>15</v>
      </c>
      <c r="G80" s="42">
        <f t="shared" ref="G80:G82" si="9">+G79</f>
        <v>1</v>
      </c>
      <c r="H80" s="43"/>
      <c r="I80" s="39">
        <f>D80*G80</f>
        <v>-79502510.139648303</v>
      </c>
      <c r="J80" s="4"/>
      <c r="K80" s="83"/>
    </row>
    <row r="81" spans="1:11">
      <c r="A81" s="24" t="s">
        <v>1404</v>
      </c>
      <c r="B81" s="22" t="s">
        <v>1408</v>
      </c>
      <c r="C81" s="4" t="s">
        <v>1410</v>
      </c>
      <c r="D81" s="53">
        <f>-'9 - EDIT'!P42</f>
        <v>-13327933</v>
      </c>
      <c r="E81" s="4"/>
      <c r="F81" s="4" t="s">
        <v>15</v>
      </c>
      <c r="G81" s="42">
        <f t="shared" si="9"/>
        <v>1</v>
      </c>
      <c r="H81" s="43"/>
      <c r="I81" s="39">
        <f>D81*G81</f>
        <v>-13327933</v>
      </c>
      <c r="J81" s="4"/>
      <c r="K81" s="83"/>
    </row>
    <row r="82" spans="1:11">
      <c r="A82" s="24" t="s">
        <v>1405</v>
      </c>
      <c r="B82" s="22" t="s">
        <v>1409</v>
      </c>
      <c r="C82" s="4" t="s">
        <v>1411</v>
      </c>
      <c r="D82" s="53">
        <f>-'9 - EDIT'!P46</f>
        <v>182013</v>
      </c>
      <c r="E82" s="4"/>
      <c r="F82" s="4" t="s">
        <v>15</v>
      </c>
      <c r="G82" s="42">
        <f t="shared" si="9"/>
        <v>1</v>
      </c>
      <c r="H82" s="43"/>
      <c r="I82" s="39">
        <f t="shared" ref="I82" si="10">D82*G82</f>
        <v>182013</v>
      </c>
      <c r="J82" s="4"/>
      <c r="K82" s="83"/>
    </row>
    <row r="83" spans="1:11">
      <c r="A83" s="24">
        <f>+A79+1</f>
        <v>32</v>
      </c>
      <c r="B83" s="3" t="s">
        <v>90</v>
      </c>
      <c r="C83" s="4" t="s">
        <v>366</v>
      </c>
      <c r="D83" s="53">
        <f>'4- Rate Base'!I44</f>
        <v>0</v>
      </c>
      <c r="E83" s="4"/>
      <c r="F83" s="4" t="s">
        <v>15</v>
      </c>
      <c r="G83" s="42">
        <f>+G78</f>
        <v>1</v>
      </c>
      <c r="H83" s="43"/>
      <c r="I83" s="53">
        <f>D83*G83</f>
        <v>0</v>
      </c>
      <c r="J83" s="4"/>
      <c r="K83" s="83"/>
    </row>
    <row r="84" spans="1:11">
      <c r="A84" s="24">
        <f t="shared" ref="A84:A91" si="11">+A83+1</f>
        <v>33</v>
      </c>
      <c r="B84" s="3" t="s">
        <v>360</v>
      </c>
      <c r="C84" s="3" t="s">
        <v>438</v>
      </c>
      <c r="D84" s="53">
        <f>'4- Rate Base'!I71</f>
        <v>-5754588.5472442936</v>
      </c>
      <c r="E84" s="4"/>
      <c r="F84" s="4" t="s">
        <v>76</v>
      </c>
      <c r="G84" s="42">
        <f>G85</f>
        <v>1</v>
      </c>
      <c r="H84" s="43"/>
      <c r="I84" s="53">
        <f t="shared" ref="I84:I90" si="12">+G84*D84</f>
        <v>-5754588.5472442936</v>
      </c>
      <c r="J84" s="4"/>
      <c r="K84" s="83"/>
    </row>
    <row r="85" spans="1:11">
      <c r="A85" s="24">
        <f t="shared" si="11"/>
        <v>34</v>
      </c>
      <c r="B85" s="85" t="s">
        <v>86</v>
      </c>
      <c r="C85" s="86" t="s">
        <v>709</v>
      </c>
      <c r="D85" s="53">
        <f>'4- Rate Base'!F24</f>
        <v>0</v>
      </c>
      <c r="E85" s="65"/>
      <c r="F85" s="65" t="str">
        <f>+F87</f>
        <v>DA</v>
      </c>
      <c r="G85" s="87">
        <v>1</v>
      </c>
      <c r="H85" s="65"/>
      <c r="I85" s="53">
        <f t="shared" si="12"/>
        <v>0</v>
      </c>
      <c r="K85" s="83"/>
    </row>
    <row r="86" spans="1:11">
      <c r="A86" s="24">
        <f t="shared" si="11"/>
        <v>35</v>
      </c>
      <c r="B86" s="85" t="s">
        <v>791</v>
      </c>
      <c r="C86" s="86" t="s">
        <v>1074</v>
      </c>
      <c r="D86" s="53">
        <f>+'4- Rate Base'!J44</f>
        <v>27745514.100403879</v>
      </c>
      <c r="E86" s="65"/>
      <c r="F86" s="65" t="str">
        <f>+F88</f>
        <v>DA</v>
      </c>
      <c r="G86" s="87">
        <v>1</v>
      </c>
      <c r="H86" s="65"/>
      <c r="I86" s="53">
        <f t="shared" si="12"/>
        <v>27745514.100403879</v>
      </c>
      <c r="K86" s="83"/>
    </row>
    <row r="87" spans="1:11">
      <c r="A87" s="24">
        <f t="shared" si="11"/>
        <v>36</v>
      </c>
      <c r="B87" s="63" t="s">
        <v>100</v>
      </c>
      <c r="C87" s="86" t="s">
        <v>1075</v>
      </c>
      <c r="D87" s="53">
        <f>+'4- Rate Base'!C44</f>
        <v>0</v>
      </c>
      <c r="E87" s="65"/>
      <c r="F87" s="65" t="str">
        <f>+F88</f>
        <v>DA</v>
      </c>
      <c r="G87" s="87">
        <v>1</v>
      </c>
      <c r="H87" s="65"/>
      <c r="I87" s="53">
        <f t="shared" si="12"/>
        <v>0</v>
      </c>
      <c r="K87" s="83"/>
    </row>
    <row r="88" spans="1:11">
      <c r="A88" s="24">
        <f t="shared" si="11"/>
        <v>37</v>
      </c>
      <c r="B88" s="63" t="s">
        <v>101</v>
      </c>
      <c r="C88" s="86" t="s">
        <v>1076</v>
      </c>
      <c r="D88" s="53">
        <f>+'4- Rate Base'!D44</f>
        <v>0</v>
      </c>
      <c r="E88" s="65"/>
      <c r="F88" s="65" t="s">
        <v>76</v>
      </c>
      <c r="G88" s="87">
        <v>1</v>
      </c>
      <c r="H88" s="65"/>
      <c r="I88" s="53">
        <f t="shared" si="12"/>
        <v>0</v>
      </c>
      <c r="K88" s="83"/>
    </row>
    <row r="89" spans="1:11">
      <c r="A89" s="24">
        <f t="shared" si="11"/>
        <v>38</v>
      </c>
      <c r="B89" s="88" t="s">
        <v>656</v>
      </c>
      <c r="C89" s="88" t="s">
        <v>655</v>
      </c>
      <c r="D89" s="878">
        <v>0</v>
      </c>
      <c r="E89" s="65"/>
      <c r="F89" s="65" t="str">
        <f>+F90</f>
        <v>DA</v>
      </c>
      <c r="G89" s="87">
        <v>1</v>
      </c>
      <c r="H89" s="65"/>
      <c r="I89" s="53">
        <f t="shared" si="12"/>
        <v>0</v>
      </c>
      <c r="K89" s="83"/>
    </row>
    <row r="90" spans="1:11" ht="13.5" thickBot="1">
      <c r="A90" s="24">
        <f t="shared" si="11"/>
        <v>39</v>
      </c>
      <c r="B90" s="89" t="s">
        <v>658</v>
      </c>
      <c r="C90" s="88" t="s">
        <v>655</v>
      </c>
      <c r="D90" s="879">
        <v>0</v>
      </c>
      <c r="E90" s="65"/>
      <c r="F90" s="65" t="s">
        <v>76</v>
      </c>
      <c r="G90" s="87">
        <v>1</v>
      </c>
      <c r="H90" s="65"/>
      <c r="I90" s="46">
        <f t="shared" si="12"/>
        <v>0</v>
      </c>
      <c r="K90" s="83"/>
    </row>
    <row r="91" spans="1:11">
      <c r="A91" s="24">
        <f t="shared" si="11"/>
        <v>40</v>
      </c>
      <c r="B91" s="22" t="s">
        <v>221</v>
      </c>
      <c r="C91" s="4" t="s">
        <v>1077</v>
      </c>
      <c r="D91" s="39">
        <f>SUM(D76:D90)</f>
        <v>-278806423.18303555</v>
      </c>
      <c r="E91" s="4"/>
      <c r="F91" s="4"/>
      <c r="G91" s="42"/>
      <c r="H91" s="43"/>
      <c r="I91" s="39">
        <f>SUM(I76:I90)</f>
        <v>-278806423.18303555</v>
      </c>
      <c r="J91" s="4"/>
      <c r="K91" s="4"/>
    </row>
    <row r="92" spans="1:11">
      <c r="A92" s="24"/>
      <c r="B92" s="3"/>
      <c r="C92" s="4"/>
      <c r="D92" s="39"/>
      <c r="E92" s="4"/>
      <c r="F92" s="4"/>
      <c r="G92" s="82"/>
      <c r="H92" s="4"/>
      <c r="I92" s="39"/>
      <c r="J92" s="4"/>
      <c r="K92" s="83"/>
    </row>
    <row r="93" spans="1:11">
      <c r="A93" s="24">
        <f>+A91+1</f>
        <v>41</v>
      </c>
      <c r="B93" s="22" t="s">
        <v>367</v>
      </c>
      <c r="C93" s="90" t="s">
        <v>282</v>
      </c>
      <c r="D93" s="39">
        <f>+'4- Rate Base'!G24</f>
        <v>4782367.0375384623</v>
      </c>
      <c r="E93" s="4"/>
      <c r="F93" s="4" t="s">
        <v>15</v>
      </c>
      <c r="G93" s="42">
        <f>+G57</f>
        <v>1</v>
      </c>
      <c r="H93" s="43"/>
      <c r="I93" s="39">
        <f>+G93*D93</f>
        <v>4782367.0375384623</v>
      </c>
      <c r="J93" s="4"/>
      <c r="K93" s="4"/>
    </row>
    <row r="94" spans="1:11">
      <c r="A94" s="24"/>
      <c r="B94" s="22"/>
      <c r="C94" s="4"/>
      <c r="D94" s="39"/>
      <c r="E94" s="4"/>
      <c r="F94" s="4"/>
      <c r="G94" s="42"/>
      <c r="H94" s="43"/>
      <c r="I94" s="39"/>
      <c r="J94" s="4"/>
      <c r="K94" s="4"/>
    </row>
    <row r="95" spans="1:11">
      <c r="A95" s="24">
        <f>+A93+1</f>
        <v>42</v>
      </c>
      <c r="B95" s="22" t="s">
        <v>224</v>
      </c>
      <c r="C95" s="4" t="s">
        <v>104</v>
      </c>
      <c r="D95" s="39"/>
      <c r="E95" s="4"/>
      <c r="F95" s="4"/>
      <c r="G95" s="42"/>
      <c r="H95" s="43"/>
      <c r="I95" s="39"/>
      <c r="J95" s="4"/>
      <c r="K95" s="4"/>
    </row>
    <row r="96" spans="1:11">
      <c r="A96" s="24">
        <f>+A95+1</f>
        <v>43</v>
      </c>
      <c r="B96" s="22" t="s">
        <v>107</v>
      </c>
      <c r="C96" s="3" t="s">
        <v>1078</v>
      </c>
      <c r="D96" s="39">
        <f>(D125-D120)/8</f>
        <v>27639172.724140283</v>
      </c>
      <c r="E96" s="4"/>
      <c r="F96" s="4"/>
      <c r="G96" s="42"/>
      <c r="H96" s="43"/>
      <c r="I96" s="39">
        <f>(I125-I120)/8</f>
        <v>8270384.4565634038</v>
      </c>
      <c r="J96" s="25"/>
      <c r="K96" s="83"/>
    </row>
    <row r="97" spans="1:11">
      <c r="A97" s="24">
        <f>+A96+1</f>
        <v>44</v>
      </c>
      <c r="B97" s="22" t="s">
        <v>169</v>
      </c>
      <c r="C97" s="90" t="s">
        <v>774</v>
      </c>
      <c r="D97" s="39">
        <f>+'4- Rate Base'!H24</f>
        <v>10128797.044532049</v>
      </c>
      <c r="E97" s="4"/>
      <c r="F97" s="4" t="s">
        <v>15</v>
      </c>
      <c r="G97" s="42">
        <f>+G114</f>
        <v>1</v>
      </c>
      <c r="H97" s="43"/>
      <c r="I97" s="39">
        <f>+G97*D97</f>
        <v>10128797.044532049</v>
      </c>
      <c r="J97" s="4" t="s">
        <v>2</v>
      </c>
      <c r="K97" s="83"/>
    </row>
    <row r="98" spans="1:11" ht="13.5" thickBot="1">
      <c r="A98" s="24">
        <f>+A97+1</f>
        <v>45</v>
      </c>
      <c r="B98" s="22" t="s">
        <v>91</v>
      </c>
      <c r="C98" s="43" t="s">
        <v>271</v>
      </c>
      <c r="D98" s="46">
        <f>+'4- Rate Base'!I24</f>
        <v>1670294.2640225876</v>
      </c>
      <c r="E98" s="4"/>
      <c r="F98" s="4" t="s">
        <v>76</v>
      </c>
      <c r="G98" s="42">
        <v>1</v>
      </c>
      <c r="H98" s="43"/>
      <c r="I98" s="46">
        <f>+G98*D98</f>
        <v>1670294.2640225876</v>
      </c>
      <c r="J98" s="4"/>
      <c r="K98" s="83"/>
    </row>
    <row r="99" spans="1:11">
      <c r="A99" s="24">
        <f>+A98+1</f>
        <v>46</v>
      </c>
      <c r="B99" s="22" t="s">
        <v>223</v>
      </c>
      <c r="C99" s="25" t="s">
        <v>758</v>
      </c>
      <c r="D99" s="39">
        <f>SUM(D96:D98)</f>
        <v>39438264.032694921</v>
      </c>
      <c r="E99" s="25"/>
      <c r="F99" s="25"/>
      <c r="G99" s="91"/>
      <c r="H99" s="91"/>
      <c r="I99" s="39">
        <f>SUM(I96:I98)</f>
        <v>20069475.76511804</v>
      </c>
      <c r="J99" s="25"/>
      <c r="K99" s="25"/>
    </row>
    <row r="100" spans="1:11" ht="13.5" thickBot="1">
      <c r="A100" s="24"/>
      <c r="B100" s="3"/>
      <c r="C100" s="4"/>
      <c r="D100" s="46"/>
      <c r="E100" s="4"/>
      <c r="F100" s="4"/>
      <c r="G100" s="4"/>
      <c r="H100" s="4"/>
      <c r="I100" s="46"/>
      <c r="J100" s="4"/>
      <c r="K100" s="4"/>
    </row>
    <row r="101" spans="1:11" ht="13.5" thickBot="1">
      <c r="A101" s="24">
        <f>+A99+1</f>
        <v>47</v>
      </c>
      <c r="B101" s="22" t="s">
        <v>225</v>
      </c>
      <c r="C101" s="4" t="s">
        <v>759</v>
      </c>
      <c r="D101" s="92">
        <f>+D99+D93+D91+D73</f>
        <v>6752648568.880599</v>
      </c>
      <c r="E101" s="43"/>
      <c r="F101" s="43"/>
      <c r="G101" s="93"/>
      <c r="H101" s="43"/>
      <c r="I101" s="92">
        <f>+I99+I93+I91+I73</f>
        <v>994404360.27501523</v>
      </c>
      <c r="J101" s="4"/>
      <c r="K101" s="83"/>
    </row>
    <row r="102" spans="1:11" ht="16.5" thickTop="1">
      <c r="A102" s="24"/>
      <c r="B102" s="94"/>
      <c r="C102" s="95"/>
      <c r="D102" s="96"/>
      <c r="E102" s="95"/>
      <c r="F102" s="97"/>
      <c r="G102" s="98"/>
      <c r="H102" s="99"/>
      <c r="I102" s="100"/>
      <c r="J102" s="4"/>
      <c r="K102" s="83"/>
    </row>
    <row r="103" spans="1:11" ht="15.75" hidden="1">
      <c r="A103" s="24"/>
      <c r="B103" s="95"/>
      <c r="D103" s="95"/>
      <c r="E103" s="101"/>
      <c r="G103" s="95"/>
      <c r="I103" s="100"/>
      <c r="J103" s="4"/>
      <c r="K103" s="83"/>
    </row>
    <row r="104" spans="1:11" ht="15.75">
      <c r="A104" s="24"/>
      <c r="B104" s="95"/>
      <c r="D104" s="98"/>
      <c r="E104" s="101"/>
      <c r="F104" s="62"/>
      <c r="G104" s="98"/>
      <c r="I104" s="4"/>
      <c r="J104" s="4"/>
      <c r="K104" s="102" t="s">
        <v>108</v>
      </c>
    </row>
    <row r="105" spans="1:11" ht="15.75">
      <c r="A105" s="24"/>
      <c r="B105" s="95"/>
      <c r="C105" s="95"/>
      <c r="D105" s="95"/>
      <c r="E105" s="103"/>
      <c r="F105" s="97"/>
      <c r="G105" s="95"/>
      <c r="H105" s="95"/>
      <c r="I105" s="4"/>
      <c r="J105" s="4"/>
      <c r="K105" s="102"/>
    </row>
    <row r="106" spans="1:11">
      <c r="A106" s="24"/>
      <c r="B106" s="22" t="s">
        <v>1</v>
      </c>
      <c r="C106" s="4"/>
      <c r="D106" s="27" t="s">
        <v>72</v>
      </c>
      <c r="E106" s="4"/>
      <c r="F106" s="4"/>
      <c r="G106" s="4"/>
      <c r="H106" s="4"/>
      <c r="I106" s="18"/>
      <c r="J106" s="4"/>
      <c r="K106" s="102" t="str">
        <f>K3</f>
        <v>For  the 12 months ended 12/31/2020</v>
      </c>
    </row>
    <row r="107" spans="1:11">
      <c r="A107" s="24"/>
      <c r="B107" s="22"/>
      <c r="C107" s="4"/>
      <c r="D107" s="27" t="s">
        <v>98</v>
      </c>
      <c r="E107" s="4"/>
      <c r="F107" s="4"/>
      <c r="G107" s="4"/>
      <c r="H107" s="4"/>
      <c r="I107" s="4"/>
      <c r="J107" s="4"/>
      <c r="K107" s="4"/>
    </row>
    <row r="108" spans="1:11">
      <c r="A108" s="24"/>
      <c r="B108" s="3"/>
      <c r="C108" s="4"/>
      <c r="D108" s="27" t="str">
        <f>+D39</f>
        <v>PECO Energy Company</v>
      </c>
      <c r="E108" s="4"/>
      <c r="F108" s="4"/>
      <c r="G108" s="4"/>
      <c r="H108" s="4"/>
      <c r="I108" s="4"/>
      <c r="J108" s="4"/>
      <c r="K108" s="4"/>
    </row>
    <row r="109" spans="1:11">
      <c r="A109" s="1023"/>
      <c r="B109" s="1023"/>
      <c r="C109" s="1023"/>
      <c r="D109" s="1023"/>
      <c r="E109" s="1023"/>
      <c r="F109" s="1023"/>
      <c r="G109" s="1023"/>
      <c r="H109" s="1023"/>
      <c r="I109" s="1023"/>
      <c r="J109" s="1023"/>
      <c r="K109" s="1023"/>
    </row>
    <row r="110" spans="1:11">
      <c r="A110" s="24"/>
      <c r="B110" s="24" t="s">
        <v>3</v>
      </c>
      <c r="C110" s="24" t="s">
        <v>4</v>
      </c>
      <c r="D110" s="24" t="s">
        <v>5</v>
      </c>
      <c r="E110" s="4" t="s">
        <v>2</v>
      </c>
      <c r="F110" s="4"/>
      <c r="G110" s="31" t="s">
        <v>6</v>
      </c>
      <c r="H110" s="4"/>
      <c r="I110" s="31" t="s">
        <v>7</v>
      </c>
      <c r="J110" s="4"/>
      <c r="K110" s="4"/>
    </row>
    <row r="111" spans="1:11">
      <c r="A111" s="24" t="s">
        <v>8</v>
      </c>
      <c r="B111" s="22"/>
      <c r="C111" s="76"/>
      <c r="D111" s="4"/>
      <c r="E111" s="4"/>
      <c r="F111" s="4"/>
      <c r="G111" s="24"/>
      <c r="H111" s="4"/>
      <c r="I111" s="77" t="s">
        <v>17</v>
      </c>
      <c r="J111" s="4"/>
      <c r="K111" s="77"/>
    </row>
    <row r="112" spans="1:11" ht="13.5" thickBot="1">
      <c r="A112" s="35" t="s">
        <v>10</v>
      </c>
      <c r="B112" s="22"/>
      <c r="C112" s="78" t="s">
        <v>207</v>
      </c>
      <c r="D112" s="77" t="s">
        <v>19</v>
      </c>
      <c r="E112" s="79"/>
      <c r="F112" s="77" t="s">
        <v>20</v>
      </c>
      <c r="G112" s="3"/>
      <c r="H112" s="79"/>
      <c r="I112" s="24" t="s">
        <v>21</v>
      </c>
      <c r="J112" s="4"/>
      <c r="K112" s="77"/>
    </row>
    <row r="113" spans="1:11">
      <c r="A113" s="24"/>
      <c r="B113" s="22" t="s">
        <v>0</v>
      </c>
      <c r="C113" s="4"/>
      <c r="D113" s="4"/>
      <c r="E113" s="4"/>
      <c r="F113" s="4"/>
      <c r="G113" s="4"/>
      <c r="H113" s="4"/>
      <c r="I113" s="4"/>
      <c r="J113" s="4"/>
      <c r="K113" s="4"/>
    </row>
    <row r="114" spans="1:11">
      <c r="A114" s="24">
        <v>1</v>
      </c>
      <c r="B114" s="22" t="s">
        <v>29</v>
      </c>
      <c r="C114" s="4" t="s">
        <v>1079</v>
      </c>
      <c r="D114" s="39">
        <f>'5-P3 Support'!C12</f>
        <v>116080855</v>
      </c>
      <c r="E114" s="4"/>
      <c r="F114" s="4" t="s">
        <v>15</v>
      </c>
      <c r="G114" s="42">
        <f>+I189</f>
        <v>1</v>
      </c>
      <c r="H114" s="43"/>
      <c r="I114" s="39">
        <f>+G114*D114</f>
        <v>116080855</v>
      </c>
      <c r="J114" s="25"/>
      <c r="K114" s="4"/>
    </row>
    <row r="115" spans="1:11">
      <c r="A115" s="57">
        <f>+A114+1</f>
        <v>2</v>
      </c>
      <c r="B115" s="55" t="s">
        <v>1320</v>
      </c>
      <c r="C115" s="4" t="s">
        <v>1080</v>
      </c>
      <c r="D115" s="39">
        <f>-'5-P3 Support'!D12</f>
        <v>-10863927</v>
      </c>
      <c r="E115" s="86"/>
      <c r="F115" s="86" t="str">
        <f>+F114</f>
        <v>TP</v>
      </c>
      <c r="G115" s="42">
        <f>+G114</f>
        <v>1</v>
      </c>
      <c r="H115" s="86"/>
      <c r="I115" s="39">
        <f>+G115*D115</f>
        <v>-10863927</v>
      </c>
      <c r="K115" s="4"/>
    </row>
    <row r="116" spans="1:11">
      <c r="A116" s="57">
        <f t="shared" ref="A116:A164" si="13">+A115+1</f>
        <v>3</v>
      </c>
      <c r="B116" s="22" t="s">
        <v>1321</v>
      </c>
      <c r="C116" s="4" t="s">
        <v>1081</v>
      </c>
      <c r="D116" s="39">
        <f>-'5-P3 Support'!E12</f>
        <v>0</v>
      </c>
      <c r="E116" s="4"/>
      <c r="F116" s="4" t="str">
        <f>+F115</f>
        <v>TP</v>
      </c>
      <c r="G116" s="42">
        <f>+G115</f>
        <v>1</v>
      </c>
      <c r="H116" s="43"/>
      <c r="I116" s="39">
        <f>+G116*D116</f>
        <v>0</v>
      </c>
      <c r="J116" s="25"/>
      <c r="K116" s="4"/>
    </row>
    <row r="117" spans="1:11">
      <c r="A117" s="57">
        <f t="shared" si="13"/>
        <v>4</v>
      </c>
      <c r="B117" s="22" t="s">
        <v>1322</v>
      </c>
      <c r="C117" s="22" t="s">
        <v>1082</v>
      </c>
      <c r="D117" s="39">
        <f>-'5-P3 Support'!F12</f>
        <v>-65204955</v>
      </c>
      <c r="E117" s="4"/>
      <c r="F117" s="22" t="str">
        <f>+F116</f>
        <v>TP</v>
      </c>
      <c r="G117" s="42">
        <v>1</v>
      </c>
      <c r="H117" s="43"/>
      <c r="I117" s="39">
        <f>+D117*G117</f>
        <v>-65204955</v>
      </c>
      <c r="J117" s="25"/>
      <c r="K117" s="4"/>
    </row>
    <row r="118" spans="1:11">
      <c r="A118" s="57">
        <f t="shared" si="13"/>
        <v>5</v>
      </c>
      <c r="B118" s="22" t="s">
        <v>30</v>
      </c>
      <c r="C118" s="104" t="s">
        <v>1138</v>
      </c>
      <c r="D118" s="39">
        <f>+'5B - A&amp;G'!E24</f>
        <v>170353503</v>
      </c>
      <c r="E118" s="4"/>
      <c r="F118" s="4" t="s">
        <v>76</v>
      </c>
      <c r="G118" s="42"/>
      <c r="H118" s="43"/>
      <c r="I118" s="39">
        <f>+'5B - A&amp;G'!J28</f>
        <v>15298138.595643368</v>
      </c>
      <c r="J118" s="4"/>
      <c r="K118" s="4" t="s">
        <v>2</v>
      </c>
    </row>
    <row r="119" spans="1:11">
      <c r="A119" s="57">
        <f>+A118+1</f>
        <v>6</v>
      </c>
      <c r="B119" s="55" t="s">
        <v>716</v>
      </c>
      <c r="C119" s="86"/>
      <c r="D119" s="53"/>
      <c r="E119" s="86"/>
      <c r="F119" s="86"/>
      <c r="G119" s="42"/>
      <c r="H119" s="86"/>
      <c r="I119" s="53"/>
      <c r="K119" s="4"/>
    </row>
    <row r="120" spans="1:11">
      <c r="A120" s="57">
        <f t="shared" si="13"/>
        <v>7</v>
      </c>
      <c r="B120" s="55" t="s">
        <v>97</v>
      </c>
      <c r="C120" s="86" t="s">
        <v>1083</v>
      </c>
      <c r="D120" s="53">
        <f>'5-P3 Support'!G12</f>
        <v>0</v>
      </c>
      <c r="E120" s="65"/>
      <c r="F120" s="65" t="s">
        <v>76</v>
      </c>
      <c r="G120" s="87">
        <v>1</v>
      </c>
      <c r="H120" s="65"/>
      <c r="I120" s="53">
        <f>+G120*D120</f>
        <v>0</v>
      </c>
      <c r="K120" s="4"/>
    </row>
    <row r="121" spans="1:11">
      <c r="A121" s="57">
        <f t="shared" si="13"/>
        <v>8</v>
      </c>
      <c r="B121" s="55" t="s">
        <v>322</v>
      </c>
      <c r="C121" s="4" t="s">
        <v>1084</v>
      </c>
      <c r="D121" s="53">
        <f>'5-P3 Support'!H12</f>
        <v>10863927</v>
      </c>
      <c r="E121" s="65"/>
      <c r="F121" s="65" t="s">
        <v>15</v>
      </c>
      <c r="G121" s="87">
        <f>+G114</f>
        <v>1</v>
      </c>
      <c r="H121" s="65"/>
      <c r="I121" s="53">
        <f>+G121*D121</f>
        <v>10863927</v>
      </c>
      <c r="K121" s="4"/>
    </row>
    <row r="122" spans="1:11">
      <c r="A122" s="57">
        <f>+A121+1</f>
        <v>9</v>
      </c>
      <c r="B122" s="55" t="s">
        <v>96</v>
      </c>
      <c r="C122" s="86" t="s">
        <v>760</v>
      </c>
      <c r="D122" s="53">
        <f>+D120+D121</f>
        <v>10863927</v>
      </c>
      <c r="E122" s="65"/>
      <c r="F122" s="65"/>
      <c r="G122" s="87"/>
      <c r="H122" s="65"/>
      <c r="I122" s="53">
        <f>+I120+I121</f>
        <v>10863927</v>
      </c>
      <c r="K122" s="4"/>
    </row>
    <row r="123" spans="1:11">
      <c r="A123" s="57">
        <f>+A122+1</f>
        <v>10</v>
      </c>
      <c r="B123" s="55" t="s">
        <v>717</v>
      </c>
      <c r="C123" s="86" t="s">
        <v>1089</v>
      </c>
      <c r="D123" s="53">
        <f>+'7 - PBOP'!F12</f>
        <v>-108275.41687774856</v>
      </c>
      <c r="E123" s="65"/>
      <c r="F123" s="52" t="s">
        <v>24</v>
      </c>
      <c r="G123" s="87">
        <f>$I$197</f>
        <v>9.4490855863003556E-2</v>
      </c>
      <c r="H123" s="100"/>
      <c r="I123" s="53">
        <f>+G123*D123</f>
        <v>-10231.036809701962</v>
      </c>
      <c r="K123" s="4"/>
    </row>
    <row r="124" spans="1:11" ht="13.5" thickBot="1">
      <c r="A124" s="57">
        <f>+A123+1</f>
        <v>11</v>
      </c>
      <c r="B124" s="55" t="s">
        <v>1323</v>
      </c>
      <c r="C124" s="4" t="s">
        <v>1180</v>
      </c>
      <c r="D124" s="46">
        <f>-'4E COA'!H17</f>
        <v>-7745.7899999999991</v>
      </c>
      <c r="E124" s="65"/>
      <c r="F124" s="52" t="s">
        <v>24</v>
      </c>
      <c r="G124" s="87">
        <f>$I$197</f>
        <v>9.4490855863003556E-2</v>
      </c>
      <c r="H124" s="100"/>
      <c r="I124" s="46">
        <f>D124*G124</f>
        <v>-731.90632643509423</v>
      </c>
      <c r="K124" s="4"/>
    </row>
    <row r="125" spans="1:11">
      <c r="A125" s="57">
        <f>A124+1</f>
        <v>12</v>
      </c>
      <c r="B125" s="105" t="s">
        <v>226</v>
      </c>
      <c r="C125" s="106" t="s">
        <v>1324</v>
      </c>
      <c r="D125" s="39">
        <f>SUM(D114:D118)+D122+D123+D124</f>
        <v>221113381.79312226</v>
      </c>
      <c r="E125" s="39"/>
      <c r="F125" s="39"/>
      <c r="G125" s="42"/>
      <c r="H125" s="39"/>
      <c r="I125" s="39">
        <f>SUM(I114:I118)+I122+I123+I124</f>
        <v>66163075.652507231</v>
      </c>
      <c r="J125" s="4"/>
      <c r="K125" s="4"/>
    </row>
    <row r="126" spans="1:11">
      <c r="A126" s="57"/>
      <c r="B126" s="3"/>
      <c r="C126" s="4"/>
      <c r="D126" s="39"/>
      <c r="E126" s="39"/>
      <c r="F126" s="39"/>
      <c r="G126" s="42"/>
      <c r="H126" s="39"/>
      <c r="I126" s="39"/>
      <c r="J126" s="4"/>
      <c r="K126" s="4"/>
    </row>
    <row r="127" spans="1:11">
      <c r="A127" s="57">
        <f>+A125+1</f>
        <v>13</v>
      </c>
      <c r="B127" s="22" t="s">
        <v>314</v>
      </c>
      <c r="C127" s="90"/>
      <c r="D127" s="39"/>
      <c r="E127" s="39"/>
      <c r="F127" s="39"/>
      <c r="G127" s="42"/>
      <c r="H127" s="39"/>
      <c r="I127" s="39"/>
      <c r="J127" s="4"/>
      <c r="K127" s="4"/>
    </row>
    <row r="128" spans="1:11">
      <c r="A128" s="57">
        <f t="shared" si="13"/>
        <v>14</v>
      </c>
      <c r="B128" s="22" t="s">
        <v>29</v>
      </c>
      <c r="C128" s="90" t="s">
        <v>1085</v>
      </c>
      <c r="D128" s="39">
        <f>'5-P3 Support'!I12</f>
        <v>26801530.618424002</v>
      </c>
      <c r="E128" s="39"/>
      <c r="F128" s="39" t="s">
        <v>15</v>
      </c>
      <c r="G128" s="42">
        <f>+G93</f>
        <v>1</v>
      </c>
      <c r="H128" s="39"/>
      <c r="I128" s="39">
        <f>+G128*D128</f>
        <v>26801530.618424002</v>
      </c>
      <c r="J128" s="4"/>
      <c r="K128" s="83"/>
    </row>
    <row r="129" spans="1:11">
      <c r="A129" s="57">
        <f t="shared" si="13"/>
        <v>15</v>
      </c>
      <c r="B129" s="107" t="s">
        <v>714</v>
      </c>
      <c r="C129" s="90" t="s">
        <v>1086</v>
      </c>
      <c r="D129" s="39">
        <f>'5-P3 Support'!C21</f>
        <v>18971737.725441996</v>
      </c>
      <c r="E129" s="39"/>
      <c r="F129" s="39" t="s">
        <v>24</v>
      </c>
      <c r="G129" s="87">
        <f>$I$197</f>
        <v>9.4490855863003556E-2</v>
      </c>
      <c r="H129" s="39"/>
      <c r="I129" s="39">
        <f>+G129*D129</f>
        <v>1792655.7348854465</v>
      </c>
      <c r="J129" s="4"/>
      <c r="K129" s="83"/>
    </row>
    <row r="130" spans="1:11">
      <c r="A130" s="57">
        <f t="shared" si="13"/>
        <v>16</v>
      </c>
      <c r="B130" s="107" t="s">
        <v>1516</v>
      </c>
      <c r="C130" s="43" t="s">
        <v>1518</v>
      </c>
      <c r="D130" s="39">
        <f>'5-P3 Support'!K12</f>
        <v>5120743.4595320001</v>
      </c>
      <c r="E130" s="39"/>
      <c r="F130" s="39" t="s">
        <v>15</v>
      </c>
      <c r="G130" s="42">
        <f>G128</f>
        <v>1</v>
      </c>
      <c r="H130" s="39"/>
      <c r="I130" s="39">
        <f>D130*G130</f>
        <v>5120743.4595320001</v>
      </c>
      <c r="J130" s="4"/>
      <c r="K130" s="83"/>
    </row>
    <row r="131" spans="1:11">
      <c r="A131" s="57" t="s">
        <v>792</v>
      </c>
      <c r="B131" s="107" t="s">
        <v>1517</v>
      </c>
      <c r="C131" s="43" t="s">
        <v>1519</v>
      </c>
      <c r="D131" s="39">
        <f>'5-P3 Support'!L12</f>
        <v>4026334.7239470002</v>
      </c>
      <c r="E131" s="39"/>
      <c r="F131" s="39" t="s">
        <v>24</v>
      </c>
      <c r="G131" s="42">
        <f>G129</f>
        <v>9.4490855863003556E-2</v>
      </c>
      <c r="H131" s="39"/>
      <c r="I131" s="39">
        <f>D131*G131</f>
        <v>380451.81405668223</v>
      </c>
      <c r="J131" s="4"/>
      <c r="K131" s="83"/>
    </row>
    <row r="132" spans="1:11">
      <c r="A132" s="57" t="s">
        <v>793</v>
      </c>
      <c r="B132" s="107" t="s">
        <v>1556</v>
      </c>
      <c r="C132" s="43" t="s">
        <v>1557</v>
      </c>
      <c r="D132" s="39">
        <f>'5-P3 Support'!M12</f>
        <v>11053896.984160002</v>
      </c>
      <c r="E132" s="39"/>
      <c r="F132" s="39" t="s">
        <v>22</v>
      </c>
      <c r="G132" s="84" t="s">
        <v>106</v>
      </c>
      <c r="H132" s="39"/>
      <c r="I132" s="39">
        <v>0</v>
      </c>
      <c r="J132" s="4"/>
      <c r="K132" s="83"/>
    </row>
    <row r="133" spans="1:11">
      <c r="A133" s="57">
        <f>+A130+1</f>
        <v>17</v>
      </c>
      <c r="B133" s="22" t="s">
        <v>924</v>
      </c>
      <c r="C133" s="90" t="s">
        <v>1087</v>
      </c>
      <c r="D133" s="53">
        <f>'5-P3 Support'!J12</f>
        <v>32943972.655892003</v>
      </c>
      <c r="E133" s="53"/>
      <c r="F133" s="39" t="s">
        <v>24</v>
      </c>
      <c r="G133" s="87">
        <f>$I$197</f>
        <v>9.4490855863003556E-2</v>
      </c>
      <c r="H133" s="53"/>
      <c r="I133" s="53">
        <f>+G133*D133</f>
        <v>3112904.1717826216</v>
      </c>
      <c r="J133" s="4"/>
      <c r="K133" s="83"/>
    </row>
    <row r="134" spans="1:11">
      <c r="A134" s="57">
        <f t="shared" si="13"/>
        <v>18</v>
      </c>
      <c r="B134" s="22" t="s">
        <v>1115</v>
      </c>
      <c r="C134" s="4" t="s">
        <v>1090</v>
      </c>
      <c r="D134" s="53">
        <f>-'4E COA'!H86</f>
        <v>-699483.83436491992</v>
      </c>
      <c r="E134" s="53"/>
      <c r="F134" s="39" t="s">
        <v>24</v>
      </c>
      <c r="G134" s="87">
        <f>G61</f>
        <v>9.4490855863003556E-2</v>
      </c>
      <c r="H134" s="53"/>
      <c r="I134" s="53">
        <f>D134*G134</f>
        <v>-66094.8261714767</v>
      </c>
      <c r="J134" s="4"/>
      <c r="K134" s="83"/>
    </row>
    <row r="135" spans="1:11" ht="13.5" thickBot="1">
      <c r="A135" s="57">
        <f t="shared" si="13"/>
        <v>19</v>
      </c>
      <c r="B135" s="55" t="s">
        <v>92</v>
      </c>
      <c r="C135" s="4" t="s">
        <v>1088</v>
      </c>
      <c r="D135" s="46">
        <f>'5-P3 Support'!D21</f>
        <v>0</v>
      </c>
      <c r="E135" s="39"/>
      <c r="F135" s="39" t="s">
        <v>76</v>
      </c>
      <c r="G135" s="42">
        <v>1</v>
      </c>
      <c r="H135" s="39"/>
      <c r="I135" s="46">
        <f>+G135*D135</f>
        <v>0</v>
      </c>
      <c r="J135" s="4"/>
      <c r="K135" s="83"/>
    </row>
    <row r="136" spans="1:11">
      <c r="A136" s="57">
        <f t="shared" si="13"/>
        <v>20</v>
      </c>
      <c r="B136" s="22" t="s">
        <v>216</v>
      </c>
      <c r="C136" s="4" t="str">
        <f>"(Sum of Lines "&amp;A128&amp;" through "&amp;A135&amp;")"</f>
        <v>(Sum of Lines 14 through 19)</v>
      </c>
      <c r="D136" s="39">
        <f>SUM(D128:D135)</f>
        <v>98218732.333032086</v>
      </c>
      <c r="E136" s="39"/>
      <c r="F136" s="39"/>
      <c r="G136" s="42"/>
      <c r="H136" s="39"/>
      <c r="I136" s="39">
        <f>SUM(I128:I135)</f>
        <v>37142190.972509265</v>
      </c>
      <c r="J136" s="4"/>
      <c r="K136" s="4"/>
    </row>
    <row r="137" spans="1:11">
      <c r="A137" s="57"/>
      <c r="B137" s="22"/>
      <c r="C137" s="4"/>
      <c r="D137" s="39"/>
      <c r="E137" s="39"/>
      <c r="F137" s="39"/>
      <c r="G137" s="42"/>
      <c r="H137" s="39"/>
      <c r="I137" s="39"/>
      <c r="J137" s="4"/>
      <c r="K137" s="4"/>
    </row>
    <row r="138" spans="1:11">
      <c r="A138" s="57">
        <f>+A136+1</f>
        <v>21</v>
      </c>
      <c r="B138" s="22" t="s">
        <v>217</v>
      </c>
      <c r="C138" s="3" t="s">
        <v>164</v>
      </c>
      <c r="D138" s="39"/>
      <c r="E138" s="39"/>
      <c r="F138" s="39"/>
      <c r="G138" s="42"/>
      <c r="H138" s="39"/>
      <c r="I138" s="39"/>
      <c r="J138" s="4"/>
      <c r="K138" s="4"/>
    </row>
    <row r="139" spans="1:11">
      <c r="A139" s="57">
        <f t="shared" si="13"/>
        <v>22</v>
      </c>
      <c r="B139" s="22" t="s">
        <v>31</v>
      </c>
      <c r="C139" s="3"/>
      <c r="D139" s="39"/>
      <c r="E139" s="39"/>
      <c r="F139" s="39"/>
      <c r="G139" s="42"/>
      <c r="H139" s="39"/>
      <c r="I139" s="39"/>
      <c r="J139" s="4"/>
      <c r="K139" s="83"/>
    </row>
    <row r="140" spans="1:11">
      <c r="A140" s="57">
        <f t="shared" si="13"/>
        <v>23</v>
      </c>
      <c r="B140" s="22" t="s">
        <v>32</v>
      </c>
      <c r="C140" s="4" t="s">
        <v>1091</v>
      </c>
      <c r="D140" s="39">
        <f>'5-P3 Support'!E21</f>
        <v>12308308</v>
      </c>
      <c r="E140" s="39"/>
      <c r="F140" s="39" t="s">
        <v>24</v>
      </c>
      <c r="G140" s="42">
        <f>+G129</f>
        <v>9.4490855863003556E-2</v>
      </c>
      <c r="H140" s="39"/>
      <c r="I140" s="39">
        <f>+G140*D140</f>
        <v>1163022.5571454535</v>
      </c>
      <c r="J140" s="4"/>
      <c r="K140" s="83"/>
    </row>
    <row r="141" spans="1:11">
      <c r="A141" s="57">
        <f t="shared" si="13"/>
        <v>24</v>
      </c>
      <c r="B141" s="108" t="str">
        <f>'5-P3 Support'!F15</f>
        <v>Labor Related Taxes to be Excluded</v>
      </c>
      <c r="C141" s="4" t="s">
        <v>1092</v>
      </c>
      <c r="D141" s="39">
        <f>'5-P3 Support'!F21</f>
        <v>0</v>
      </c>
      <c r="E141" s="39"/>
      <c r="F141" s="39" t="s">
        <v>24</v>
      </c>
      <c r="G141" s="42">
        <f>+G140</f>
        <v>9.4490855863003556E-2</v>
      </c>
      <c r="H141" s="39"/>
      <c r="I141" s="39">
        <f>+G141*D141</f>
        <v>0</v>
      </c>
      <c r="J141" s="4"/>
      <c r="K141" s="83"/>
    </row>
    <row r="142" spans="1:11">
      <c r="A142" s="57">
        <f t="shared" si="13"/>
        <v>25</v>
      </c>
      <c r="B142" s="22" t="s">
        <v>33</v>
      </c>
      <c r="C142" s="4" t="s">
        <v>2</v>
      </c>
      <c r="D142" s="39"/>
      <c r="E142" s="39"/>
      <c r="F142" s="39"/>
      <c r="G142" s="42"/>
      <c r="H142" s="39"/>
      <c r="I142" s="39"/>
      <c r="J142" s="4"/>
      <c r="K142" s="83"/>
    </row>
    <row r="143" spans="1:11">
      <c r="A143" s="57">
        <f t="shared" si="13"/>
        <v>26</v>
      </c>
      <c r="B143" s="22" t="s">
        <v>34</v>
      </c>
      <c r="C143" s="4" t="s">
        <v>1139</v>
      </c>
      <c r="D143" s="39">
        <f>'5-P3 Support'!G21</f>
        <v>12835970</v>
      </c>
      <c r="E143" s="39"/>
      <c r="F143" s="39" t="s">
        <v>28</v>
      </c>
      <c r="G143" s="42">
        <f>+G53</f>
        <v>0.18509112796332486</v>
      </c>
      <c r="H143" s="39"/>
      <c r="I143" s="39">
        <f>+G143*D143</f>
        <v>2375824.1658033989</v>
      </c>
      <c r="J143" s="4"/>
      <c r="K143" s="83"/>
    </row>
    <row r="144" spans="1:11">
      <c r="A144" s="57">
        <f t="shared" si="13"/>
        <v>27</v>
      </c>
      <c r="B144" s="22" t="s">
        <v>1480</v>
      </c>
      <c r="C144" s="4" t="s">
        <v>1093</v>
      </c>
      <c r="D144" s="39">
        <f>'5-P3 Support'!H21</f>
        <v>132585408</v>
      </c>
      <c r="E144" s="39"/>
      <c r="F144" s="39" t="s">
        <v>22</v>
      </c>
      <c r="G144" s="84" t="s">
        <v>106</v>
      </c>
      <c r="H144" s="39"/>
      <c r="I144" s="39">
        <v>0</v>
      </c>
      <c r="J144" s="4"/>
      <c r="K144" s="83"/>
    </row>
    <row r="145" spans="1:11">
      <c r="A145" s="57">
        <f t="shared" si="13"/>
        <v>28</v>
      </c>
      <c r="B145" s="22" t="s">
        <v>35</v>
      </c>
      <c r="C145" s="4" t="s">
        <v>1094</v>
      </c>
      <c r="D145" s="39">
        <f>'5-P3 Support'!I21</f>
        <v>450022</v>
      </c>
      <c r="E145" s="39"/>
      <c r="F145" s="39" t="s">
        <v>28</v>
      </c>
      <c r="G145" s="42">
        <f>+G143</f>
        <v>0.18509112796332486</v>
      </c>
      <c r="H145" s="39"/>
      <c r="I145" s="39">
        <f>+G145*D145</f>
        <v>83295.079588311375</v>
      </c>
      <c r="J145" s="4"/>
      <c r="K145" s="83"/>
    </row>
    <row r="146" spans="1:11" ht="13.5" thickBot="1">
      <c r="A146" s="57">
        <f t="shared" si="13"/>
        <v>29</v>
      </c>
      <c r="B146" s="22" t="s">
        <v>1459</v>
      </c>
      <c r="C146" s="4" t="s">
        <v>1095</v>
      </c>
      <c r="D146" s="46">
        <f>'5-P3 Support'!J21</f>
        <v>0</v>
      </c>
      <c r="E146" s="39"/>
      <c r="F146" s="39" t="s">
        <v>28</v>
      </c>
      <c r="G146" s="42">
        <f>+G143</f>
        <v>0.18509112796332486</v>
      </c>
      <c r="H146" s="39"/>
      <c r="I146" s="46">
        <f>+G146*D146</f>
        <v>0</v>
      </c>
      <c r="J146" s="4"/>
      <c r="K146" s="83"/>
    </row>
    <row r="147" spans="1:11">
      <c r="A147" s="57">
        <f t="shared" si="13"/>
        <v>30</v>
      </c>
      <c r="B147" s="22" t="s">
        <v>218</v>
      </c>
      <c r="C147" s="4" t="str">
        <f>"(Sum of Lines "&amp;A140&amp;" through "&amp;A146&amp;")"</f>
        <v>(Sum of Lines 23 through 29)</v>
      </c>
      <c r="D147" s="39">
        <f>SUM(D140:D146)</f>
        <v>158179708</v>
      </c>
      <c r="E147" s="39"/>
      <c r="F147" s="39"/>
      <c r="G147" s="42"/>
      <c r="H147" s="39"/>
      <c r="I147" s="39">
        <f>SUM(I140:I146)</f>
        <v>3622141.8025371637</v>
      </c>
      <c r="J147" s="4"/>
      <c r="K147" s="83"/>
    </row>
    <row r="148" spans="1:11">
      <c r="A148" s="57"/>
      <c r="B148" s="22"/>
      <c r="C148" s="4"/>
      <c r="D148" s="39"/>
      <c r="E148" s="39"/>
      <c r="F148" s="39"/>
      <c r="G148" s="42"/>
      <c r="H148" s="39"/>
      <c r="I148" s="39"/>
      <c r="J148" s="4"/>
      <c r="K148" s="83"/>
    </row>
    <row r="149" spans="1:11">
      <c r="A149" s="57">
        <f>A147+1</f>
        <v>31</v>
      </c>
      <c r="B149" s="109" t="s">
        <v>657</v>
      </c>
      <c r="C149" s="88" t="s">
        <v>655</v>
      </c>
      <c r="D149" s="878">
        <v>0</v>
      </c>
      <c r="E149" s="65"/>
      <c r="F149" s="65" t="str">
        <f>+F86</f>
        <v>DA</v>
      </c>
      <c r="G149" s="87">
        <v>1</v>
      </c>
      <c r="H149" s="65"/>
      <c r="I149" s="53">
        <f>+G149*D149</f>
        <v>0</v>
      </c>
      <c r="J149" s="4"/>
      <c r="K149" s="83"/>
    </row>
    <row r="150" spans="1:11">
      <c r="A150" s="57"/>
      <c r="B150" s="109"/>
      <c r="C150" s="4"/>
      <c r="D150" s="4"/>
      <c r="E150" s="4"/>
      <c r="F150" s="4"/>
      <c r="G150" s="42"/>
      <c r="H150" s="4"/>
      <c r="I150" s="4"/>
      <c r="J150" s="4"/>
    </row>
    <row r="151" spans="1:11">
      <c r="A151" s="57">
        <f>A149+1</f>
        <v>32</v>
      </c>
      <c r="B151" s="22" t="s">
        <v>36</v>
      </c>
      <c r="C151" s="4" t="str">
        <f>"(Note "&amp;A$231&amp;")"</f>
        <v>(Note G)</v>
      </c>
      <c r="D151" s="4"/>
      <c r="E151" s="4"/>
      <c r="F151" s="3"/>
      <c r="G151" s="82"/>
      <c r="H151" s="4"/>
      <c r="I151" s="3"/>
      <c r="J151" s="4"/>
    </row>
    <row r="152" spans="1:11">
      <c r="A152" s="57">
        <f t="shared" si="13"/>
        <v>33</v>
      </c>
      <c r="B152" s="110" t="s">
        <v>421</v>
      </c>
      <c r="C152" s="4" t="s">
        <v>762</v>
      </c>
      <c r="D152" s="111">
        <f>IF(D232&gt;0,1-(((1-D233)*(1-D232))/(1-D233*D232*D234)),0)</f>
        <v>0.28892099999999998</v>
      </c>
      <c r="E152" s="4"/>
      <c r="F152" s="3"/>
      <c r="G152" s="82"/>
      <c r="H152" s="4"/>
      <c r="I152" s="3"/>
      <c r="J152" s="4"/>
    </row>
    <row r="153" spans="1:11">
      <c r="A153" s="57">
        <f t="shared" si="13"/>
        <v>34</v>
      </c>
      <c r="B153" s="3" t="s">
        <v>37</v>
      </c>
      <c r="C153" s="4" t="s">
        <v>1117</v>
      </c>
      <c r="D153" s="111">
        <f>IF(I203&gt;0,(D152/(1-D152))*(1-I203/I206),0)</f>
        <v>0.3064302856681555</v>
      </c>
      <c r="E153" s="4"/>
      <c r="F153" s="3"/>
      <c r="G153" s="82"/>
      <c r="H153" s="4"/>
      <c r="I153" s="3"/>
      <c r="J153" s="4"/>
      <c r="K153" s="3"/>
    </row>
    <row r="154" spans="1:11">
      <c r="A154" s="57">
        <f t="shared" si="13"/>
        <v>35</v>
      </c>
      <c r="B154" s="22" t="s">
        <v>240</v>
      </c>
      <c r="C154" s="4" t="s">
        <v>241</v>
      </c>
      <c r="D154" s="4"/>
      <c r="E154" s="4"/>
      <c r="F154" s="3"/>
      <c r="G154" s="82"/>
      <c r="H154" s="4"/>
      <c r="I154" s="3"/>
      <c r="J154" s="4"/>
      <c r="K154" s="3"/>
    </row>
    <row r="155" spans="1:11">
      <c r="A155" s="57">
        <f t="shared" si="13"/>
        <v>36</v>
      </c>
      <c r="B155" s="22"/>
      <c r="D155" s="4"/>
      <c r="E155" s="4"/>
      <c r="F155" s="3"/>
      <c r="G155" s="82"/>
      <c r="H155" s="4"/>
      <c r="I155" s="3"/>
      <c r="J155" s="4"/>
      <c r="K155" s="3"/>
    </row>
    <row r="156" spans="1:11">
      <c r="A156" s="57">
        <f>+A155+1</f>
        <v>37</v>
      </c>
      <c r="B156" s="110" t="str">
        <f>"      1 / (1 - T)  =  (T from line "&amp;A152&amp;")"</f>
        <v xml:space="preserve">      1 / (1 - T)  =  (T from line 33)</v>
      </c>
      <c r="C156" s="4"/>
      <c r="D156" s="111">
        <f>IF(D121=0,0,1/(1-D152))</f>
        <v>1.4063135038441579</v>
      </c>
      <c r="E156" s="4"/>
      <c r="F156" s="3"/>
      <c r="G156" s="82"/>
      <c r="H156" s="4"/>
      <c r="I156" s="39"/>
      <c r="J156" s="4"/>
      <c r="K156" s="3"/>
    </row>
    <row r="157" spans="1:11">
      <c r="A157" s="57">
        <f t="shared" si="13"/>
        <v>38</v>
      </c>
      <c r="B157" s="22" t="s">
        <v>1326</v>
      </c>
      <c r="C157" s="4" t="s">
        <v>1327</v>
      </c>
      <c r="D157" s="39">
        <f>-'5-P3 Support'!K21</f>
        <v>-2976.3507628454327</v>
      </c>
      <c r="E157" s="4"/>
      <c r="F157" s="3"/>
      <c r="G157" s="82"/>
      <c r="H157" s="4"/>
      <c r="I157" s="39"/>
      <c r="J157" s="4"/>
      <c r="K157" s="3"/>
    </row>
    <row r="158" spans="1:11">
      <c r="A158" s="57">
        <f t="shared" si="13"/>
        <v>39</v>
      </c>
      <c r="B158" s="22" t="s">
        <v>1328</v>
      </c>
      <c r="C158" s="4" t="s">
        <v>1329</v>
      </c>
      <c r="D158" s="39">
        <f>-'5-P3 Support'!L21</f>
        <v>-3250819.9806056628</v>
      </c>
      <c r="E158" s="4"/>
      <c r="F158" s="3"/>
      <c r="G158" s="87"/>
      <c r="H158" s="4"/>
      <c r="I158" s="39"/>
      <c r="J158" s="4"/>
      <c r="K158" s="3"/>
    </row>
    <row r="159" spans="1:11">
      <c r="A159" s="57">
        <f t="shared" si="13"/>
        <v>40</v>
      </c>
      <c r="B159" s="22" t="s">
        <v>281</v>
      </c>
      <c r="C159" s="4" t="s">
        <v>1096</v>
      </c>
      <c r="D159" s="39">
        <f>'5-P3 Support'!M21</f>
        <v>282655.2075020941</v>
      </c>
      <c r="E159" s="4"/>
      <c r="F159" s="3"/>
      <c r="G159" s="82"/>
      <c r="H159" s="4"/>
      <c r="I159" s="39"/>
      <c r="J159" s="4"/>
      <c r="K159" s="3"/>
    </row>
    <row r="160" spans="1:11">
      <c r="A160" s="57">
        <f t="shared" si="13"/>
        <v>41</v>
      </c>
      <c r="B160" s="110" t="s">
        <v>236</v>
      </c>
      <c r="C160" s="112" t="str">
        <f>"(Line "&amp;A153&amp;" times Line "&amp;A167&amp;")"</f>
        <v>(Line 34 times Line 47)</v>
      </c>
      <c r="D160" s="113">
        <f>+D153*D167</f>
        <v>154509158.79757178</v>
      </c>
      <c r="E160" s="43"/>
      <c r="F160" s="43" t="s">
        <v>22</v>
      </c>
      <c r="G160" s="42"/>
      <c r="H160" s="43"/>
      <c r="I160" s="113">
        <f>+D153*I167</f>
        <v>22753232.253015067</v>
      </c>
      <c r="J160" s="4"/>
      <c r="K160" s="45" t="s">
        <v>2</v>
      </c>
    </row>
    <row r="161" spans="1:11">
      <c r="A161" s="57">
        <f t="shared" si="13"/>
        <v>42</v>
      </c>
      <c r="B161" s="3" t="s">
        <v>237</v>
      </c>
      <c r="C161" s="112" t="str">
        <f>"(Line "&amp;A156&amp;" times Line "&amp;A157&amp;")"</f>
        <v>(Line 37 times Line 38)</v>
      </c>
      <c r="D161" s="113">
        <f>+D$156*D157</f>
        <v>-4185.6822699663926</v>
      </c>
      <c r="E161" s="43"/>
      <c r="F161" s="114" t="s">
        <v>15</v>
      </c>
      <c r="G161" s="42">
        <v>1</v>
      </c>
      <c r="H161" s="43"/>
      <c r="I161" s="113">
        <f>+G161*D161</f>
        <v>-4185.6822699663926</v>
      </c>
      <c r="J161" s="4"/>
      <c r="K161" s="45"/>
    </row>
    <row r="162" spans="1:11">
      <c r="A162" s="57">
        <f t="shared" si="13"/>
        <v>43</v>
      </c>
      <c r="B162" s="3" t="s">
        <v>238</v>
      </c>
      <c r="C162" s="112" t="str">
        <f>"(Line "&amp;A156&amp;" times Line "&amp;A158&amp;")"</f>
        <v>(Line 37 times Line 39)</v>
      </c>
      <c r="D162" s="113">
        <f>+D$156*D158</f>
        <v>-4571672.0372921471</v>
      </c>
      <c r="E162" s="43"/>
      <c r="F162" s="114" t="s">
        <v>15</v>
      </c>
      <c r="G162" s="42">
        <v>1</v>
      </c>
      <c r="H162" s="43"/>
      <c r="I162" s="113">
        <f>+G162*D162</f>
        <v>-4571672.0372921471</v>
      </c>
      <c r="J162" s="4"/>
      <c r="K162" s="45"/>
    </row>
    <row r="163" spans="1:11" ht="13.5" thickBot="1">
      <c r="A163" s="57">
        <f t="shared" si="13"/>
        <v>44</v>
      </c>
      <c r="B163" s="3" t="s">
        <v>109</v>
      </c>
      <c r="C163" s="112" t="str">
        <f>"(Line "&amp;A156&amp;" times Line "&amp;A159&amp;")"</f>
        <v>(Line 37 times Line 40)</v>
      </c>
      <c r="D163" s="113">
        <f>+D$156*D159</f>
        <v>397501.83524206746</v>
      </c>
      <c r="E163" s="43"/>
      <c r="F163" s="114" t="s">
        <v>15</v>
      </c>
      <c r="G163" s="42">
        <v>1</v>
      </c>
      <c r="H163" s="43"/>
      <c r="I163" s="115">
        <f>+G163*D163</f>
        <v>397501.83524206746</v>
      </c>
      <c r="J163" s="4"/>
      <c r="K163" s="45"/>
    </row>
    <row r="164" spans="1:11">
      <c r="A164" s="57">
        <f t="shared" si="13"/>
        <v>45</v>
      </c>
      <c r="B164" s="110" t="s">
        <v>239</v>
      </c>
      <c r="C164" s="3" t="str">
        <f>"(Sum of Lines "&amp;A160&amp;" through "&amp;A163&amp;")"</f>
        <v>(Sum of Lines 41 through 44)</v>
      </c>
      <c r="D164" s="113">
        <f>SUM(D160:D163)</f>
        <v>150330802.91325173</v>
      </c>
      <c r="E164" s="43"/>
      <c r="F164" s="43" t="s">
        <v>2</v>
      </c>
      <c r="G164" s="116" t="s">
        <v>2</v>
      </c>
      <c r="H164" s="43"/>
      <c r="I164" s="113">
        <f>SUM(I160:I163)</f>
        <v>18574876.368695017</v>
      </c>
      <c r="J164" s="4"/>
      <c r="K164" s="4"/>
    </row>
    <row r="165" spans="1:11">
      <c r="A165" s="57"/>
      <c r="B165" s="3"/>
      <c r="C165" s="117"/>
      <c r="D165" s="39"/>
      <c r="E165" s="4"/>
      <c r="F165" s="4"/>
      <c r="G165" s="118"/>
      <c r="H165" s="4"/>
      <c r="I165" s="39"/>
      <c r="J165" s="4"/>
      <c r="K165" s="4"/>
    </row>
    <row r="166" spans="1:11">
      <c r="A166" s="57">
        <f>+A164+1</f>
        <v>46</v>
      </c>
      <c r="B166" s="22" t="s">
        <v>39</v>
      </c>
      <c r="J166" s="4"/>
      <c r="K166" s="3"/>
    </row>
    <row r="167" spans="1:11">
      <c r="A167" s="57">
        <f>A166+1</f>
        <v>47</v>
      </c>
      <c r="B167" s="110" t="s">
        <v>291</v>
      </c>
      <c r="C167" s="110" t="s">
        <v>1116</v>
      </c>
      <c r="D167" s="39">
        <f>+$I206*D101</f>
        <v>504222872.29433763</v>
      </c>
      <c r="E167" s="43"/>
      <c r="F167" s="43" t="s">
        <v>22</v>
      </c>
      <c r="G167" s="119"/>
      <c r="H167" s="43"/>
      <c r="I167" s="39">
        <f>+$I206*I101</f>
        <v>74252556.999719575</v>
      </c>
      <c r="K167" s="83"/>
    </row>
    <row r="168" spans="1:11">
      <c r="A168" s="57"/>
      <c r="B168" s="110"/>
      <c r="C168" s="110"/>
      <c r="D168" s="39"/>
      <c r="E168" s="43"/>
      <c r="F168" s="43"/>
      <c r="G168" s="119"/>
      <c r="H168" s="43"/>
      <c r="I168" s="39"/>
      <c r="K168" s="83"/>
    </row>
    <row r="169" spans="1:11">
      <c r="A169" s="57" t="s">
        <v>1210</v>
      </c>
      <c r="B169" s="22" t="s">
        <v>1330</v>
      </c>
      <c r="C169" s="3" t="s">
        <v>1331</v>
      </c>
      <c r="D169" s="53">
        <f>-'10 - Pension Asset Discount'!I20</f>
        <v>-924258.64268731663</v>
      </c>
      <c r="E169" s="43"/>
      <c r="F169" s="43" t="s">
        <v>76</v>
      </c>
      <c r="G169" s="42">
        <v>1</v>
      </c>
      <c r="H169" s="43"/>
      <c r="I169" s="53">
        <f>D169*G169</f>
        <v>-924258.64268731663</v>
      </c>
      <c r="J169" s="4"/>
      <c r="K169" s="83"/>
    </row>
    <row r="170" spans="1:11" ht="13.5" thickBot="1">
      <c r="A170" s="57">
        <f>A167+1</f>
        <v>48</v>
      </c>
      <c r="B170" s="22" t="s">
        <v>1332</v>
      </c>
      <c r="C170" s="4" t="str">
        <f>"(Sum of Lines "&amp;A125&amp;", "&amp;A136&amp;", "&amp;A147&amp;", "&amp;A149&amp;", "&amp;A164&amp;", "&amp;A167&amp;")"</f>
        <v>(Sum of Lines 12, 20, 30, 31, 45, 47)</v>
      </c>
      <c r="D170" s="120">
        <f>+D167+D164+D147+D136+D125+D149+D169</f>
        <v>1131141238.6910565</v>
      </c>
      <c r="E170" s="43"/>
      <c r="F170" s="43"/>
      <c r="G170" s="100"/>
      <c r="H170" s="43"/>
      <c r="I170" s="120">
        <f>+I167+I164+I147+I136+I125+I149+I169</f>
        <v>198830583.15328091</v>
      </c>
      <c r="J170" s="25"/>
      <c r="K170" s="25"/>
    </row>
    <row r="171" spans="1:11" ht="1.1499999999999999" customHeight="1" thickTop="1">
      <c r="A171" s="57"/>
      <c r="B171" s="22"/>
      <c r="C171" s="4"/>
      <c r="D171" s="100"/>
      <c r="E171" s="43"/>
      <c r="F171" s="43"/>
      <c r="G171" s="100"/>
      <c r="H171" s="43"/>
      <c r="I171" s="53"/>
      <c r="J171" s="25"/>
      <c r="K171" s="25"/>
    </row>
    <row r="172" spans="1:11">
      <c r="A172" s="57"/>
      <c r="B172" s="121"/>
      <c r="C172" s="43"/>
      <c r="D172" s="100"/>
      <c r="E172" s="100"/>
      <c r="F172" s="100"/>
      <c r="G172" s="100"/>
      <c r="H172" s="100"/>
      <c r="I172" s="100"/>
      <c r="J172" s="25"/>
      <c r="K172" s="25"/>
    </row>
    <row r="173" spans="1:11">
      <c r="A173" s="24"/>
      <c r="B173" s="3"/>
      <c r="C173" s="3"/>
      <c r="D173" s="3"/>
      <c r="E173" s="3"/>
      <c r="F173" s="3"/>
      <c r="G173" s="3"/>
      <c r="H173" s="3"/>
      <c r="I173" s="3"/>
      <c r="J173" s="4"/>
      <c r="K173" s="102" t="s">
        <v>110</v>
      </c>
    </row>
    <row r="174" spans="1:11">
      <c r="A174" s="24"/>
      <c r="B174" s="3"/>
      <c r="C174" s="3"/>
      <c r="D174" s="3"/>
      <c r="E174" s="3"/>
      <c r="F174" s="3"/>
      <c r="G174" s="3"/>
      <c r="H174" s="3"/>
      <c r="I174" s="3"/>
      <c r="J174" s="4"/>
      <c r="K174" s="4"/>
    </row>
    <row r="175" spans="1:11">
      <c r="A175" s="24"/>
      <c r="B175" s="22" t="s">
        <v>1</v>
      </c>
      <c r="C175" s="3"/>
      <c r="D175" s="122" t="s">
        <v>72</v>
      </c>
      <c r="E175" s="3"/>
      <c r="F175" s="3"/>
      <c r="G175" s="3"/>
      <c r="H175" s="3"/>
      <c r="I175" s="18"/>
      <c r="J175" s="4"/>
      <c r="K175" s="123" t="str">
        <f>K3</f>
        <v>For  the 12 months ended 12/31/2020</v>
      </c>
    </row>
    <row r="176" spans="1:11">
      <c r="A176" s="24"/>
      <c r="B176" s="22"/>
      <c r="C176" s="3"/>
      <c r="D176" s="122" t="s">
        <v>98</v>
      </c>
      <c r="E176" s="3"/>
      <c r="F176" s="3"/>
      <c r="G176" s="3"/>
      <c r="H176" s="3"/>
      <c r="I176" s="3"/>
      <c r="J176" s="4"/>
      <c r="K176" s="4"/>
    </row>
    <row r="177" spans="1:11">
      <c r="A177" s="24"/>
      <c r="B177" s="3"/>
      <c r="C177" s="3"/>
      <c r="D177" s="122" t="str">
        <f>+D108</f>
        <v>PECO Energy Company</v>
      </c>
      <c r="E177" s="3"/>
      <c r="F177" s="3"/>
      <c r="G177" s="3"/>
      <c r="H177" s="3"/>
      <c r="I177" s="3"/>
      <c r="J177" s="4"/>
      <c r="K177" s="4"/>
    </row>
    <row r="178" spans="1:11">
      <c r="A178" s="1023"/>
      <c r="B178" s="1023"/>
      <c r="C178" s="1023"/>
      <c r="D178" s="1023"/>
      <c r="E178" s="1023"/>
      <c r="F178" s="1023"/>
      <c r="G178" s="1023"/>
      <c r="H178" s="1023"/>
      <c r="I178" s="1023"/>
      <c r="J178" s="1023"/>
      <c r="K178" s="1023"/>
    </row>
    <row r="179" spans="1:11" s="126" customFormat="1">
      <c r="A179" s="124"/>
      <c r="B179" s="24" t="s">
        <v>3</v>
      </c>
      <c r="C179" s="24" t="s">
        <v>4</v>
      </c>
      <c r="D179" s="24" t="s">
        <v>5</v>
      </c>
      <c r="E179" s="4" t="s">
        <v>2</v>
      </c>
      <c r="F179" s="4"/>
      <c r="G179" s="31" t="s">
        <v>6</v>
      </c>
      <c r="H179" s="4"/>
      <c r="I179" s="31" t="s">
        <v>7</v>
      </c>
      <c r="J179" s="125"/>
      <c r="K179" s="125"/>
    </row>
    <row r="180" spans="1:11">
      <c r="A180" s="24"/>
      <c r="B180" s="3"/>
      <c r="C180" s="22"/>
      <c r="D180" s="22"/>
      <c r="E180" s="22"/>
      <c r="F180" s="22"/>
      <c r="G180" s="22"/>
      <c r="H180" s="22"/>
      <c r="I180" s="22"/>
      <c r="J180" s="22"/>
      <c r="K180" s="22"/>
    </row>
    <row r="181" spans="1:11">
      <c r="A181" s="24"/>
      <c r="B181" s="3"/>
      <c r="C181" s="80" t="s">
        <v>40</v>
      </c>
      <c r="D181" s="3"/>
      <c r="E181" s="25"/>
      <c r="F181" s="25"/>
      <c r="G181" s="25"/>
      <c r="H181" s="25"/>
      <c r="I181" s="25"/>
      <c r="J181" s="4"/>
      <c r="K181" s="4"/>
    </row>
    <row r="182" spans="1:11">
      <c r="A182" s="24" t="s">
        <v>8</v>
      </c>
      <c r="B182" s="80"/>
      <c r="C182" s="25"/>
      <c r="D182" s="25"/>
      <c r="E182" s="25"/>
      <c r="F182" s="25"/>
      <c r="G182" s="25"/>
      <c r="H182" s="25"/>
      <c r="I182" s="25"/>
      <c r="J182" s="4"/>
      <c r="K182" s="4"/>
    </row>
    <row r="183" spans="1:11" ht="13.5" thickBot="1">
      <c r="A183" s="35" t="s">
        <v>10</v>
      </c>
      <c r="B183" s="22" t="s">
        <v>41</v>
      </c>
      <c r="C183" s="25"/>
      <c r="D183" s="25"/>
      <c r="E183" s="25"/>
      <c r="F183" s="25"/>
      <c r="G183" s="25"/>
      <c r="H183" s="3"/>
      <c r="I183" s="3"/>
      <c r="J183" s="4"/>
      <c r="K183" s="4"/>
    </row>
    <row r="184" spans="1:11">
      <c r="A184" s="24">
        <v>1</v>
      </c>
      <c r="B184" s="25" t="s">
        <v>230</v>
      </c>
      <c r="C184" s="25" t="s">
        <v>299</v>
      </c>
      <c r="D184" s="4"/>
      <c r="E184" s="4"/>
      <c r="F184" s="4"/>
      <c r="G184" s="4"/>
      <c r="H184" s="4"/>
      <c r="I184" s="39">
        <f>D47</f>
        <v>1723143700.8466916</v>
      </c>
      <c r="J184" s="4"/>
      <c r="K184" s="4"/>
    </row>
    <row r="185" spans="1:11">
      <c r="A185" s="24">
        <f>+A184+1</f>
        <v>2</v>
      </c>
      <c r="B185" s="25" t="s">
        <v>710</v>
      </c>
      <c r="C185" s="3" t="s">
        <v>228</v>
      </c>
      <c r="D185" s="3"/>
      <c r="E185" s="3"/>
      <c r="F185" s="3"/>
      <c r="G185" s="3"/>
      <c r="H185" s="3"/>
      <c r="I185" s="877">
        <v>0</v>
      </c>
      <c r="J185" s="4"/>
      <c r="K185" s="4"/>
    </row>
    <row r="186" spans="1:11" ht="13.5" thickBot="1">
      <c r="A186" s="24">
        <f>+A185+1</f>
        <v>3</v>
      </c>
      <c r="B186" s="127" t="s">
        <v>231</v>
      </c>
      <c r="C186" s="127" t="s">
        <v>229</v>
      </c>
      <c r="D186" s="18"/>
      <c r="E186" s="4"/>
      <c r="F186" s="4"/>
      <c r="G186" s="27"/>
      <c r="H186" s="4"/>
      <c r="I186" s="880">
        <v>0</v>
      </c>
      <c r="J186" s="4"/>
      <c r="K186" s="4"/>
    </row>
    <row r="187" spans="1:11">
      <c r="A187" s="24">
        <f t="shared" ref="A187:A197" si="14">+A186+1</f>
        <v>4</v>
      </c>
      <c r="B187" s="25" t="s">
        <v>711</v>
      </c>
      <c r="C187" s="25" t="s">
        <v>232</v>
      </c>
      <c r="D187" s="4"/>
      <c r="E187" s="4"/>
      <c r="F187" s="4"/>
      <c r="G187" s="27"/>
      <c r="H187" s="4"/>
      <c r="I187" s="39">
        <f>I184-I185-I186</f>
        <v>1723143700.8466916</v>
      </c>
      <c r="J187" s="4"/>
      <c r="K187" s="4"/>
    </row>
    <row r="188" spans="1:11">
      <c r="A188" s="24"/>
      <c r="B188" s="3"/>
      <c r="C188" s="25"/>
      <c r="D188" s="4"/>
      <c r="E188" s="4"/>
      <c r="F188" s="4"/>
      <c r="G188" s="27"/>
      <c r="H188" s="4"/>
      <c r="I188" s="39"/>
      <c r="J188" s="4"/>
      <c r="K188" s="4"/>
    </row>
    <row r="189" spans="1:11">
      <c r="A189" s="24">
        <f>+A187+1</f>
        <v>5</v>
      </c>
      <c r="B189" s="25" t="s">
        <v>712</v>
      </c>
      <c r="C189" s="34" t="s">
        <v>233</v>
      </c>
      <c r="D189" s="30"/>
      <c r="E189" s="30"/>
      <c r="F189" s="30"/>
      <c r="G189" s="31"/>
      <c r="H189" s="4" t="s">
        <v>42</v>
      </c>
      <c r="I189" s="84">
        <f>IF(I184&gt;0,I187/I184,0)</f>
        <v>1</v>
      </c>
      <c r="J189" s="4"/>
      <c r="K189" s="4"/>
    </row>
    <row r="190" spans="1:11">
      <c r="A190" s="24"/>
      <c r="B190" s="3"/>
      <c r="C190" s="3"/>
      <c r="D190" s="3"/>
      <c r="E190" s="3"/>
      <c r="F190" s="3"/>
      <c r="G190" s="3"/>
      <c r="H190" s="3"/>
      <c r="I190" s="3"/>
      <c r="J190" s="3"/>
      <c r="K190" s="3"/>
    </row>
    <row r="191" spans="1:11">
      <c r="A191" s="24">
        <f>+A189+1</f>
        <v>6</v>
      </c>
      <c r="B191" s="22" t="s">
        <v>111</v>
      </c>
      <c r="C191" s="4"/>
      <c r="D191" s="4"/>
      <c r="E191" s="4"/>
      <c r="F191" s="4"/>
      <c r="G191" s="4"/>
      <c r="H191" s="4"/>
      <c r="I191" s="4"/>
      <c r="J191" s="4"/>
      <c r="K191" s="4"/>
    </row>
    <row r="192" spans="1:11" ht="13.5" thickBot="1">
      <c r="A192" s="24"/>
      <c r="B192" s="22"/>
      <c r="C192" s="128" t="s">
        <v>43</v>
      </c>
      <c r="D192" s="129" t="s">
        <v>44</v>
      </c>
      <c r="E192" s="129" t="s">
        <v>15</v>
      </c>
      <c r="F192" s="4"/>
      <c r="G192" s="129" t="s">
        <v>45</v>
      </c>
      <c r="H192" s="4"/>
      <c r="I192" s="4"/>
      <c r="J192" s="4"/>
      <c r="K192" s="4"/>
    </row>
    <row r="193" spans="1:11">
      <c r="A193" s="24">
        <f>+A191+1</f>
        <v>7</v>
      </c>
      <c r="B193" s="22" t="s">
        <v>800</v>
      </c>
      <c r="C193" s="4" t="s">
        <v>46</v>
      </c>
      <c r="D193" s="877">
        <v>0</v>
      </c>
      <c r="E193" s="130">
        <v>0</v>
      </c>
      <c r="F193" s="131"/>
      <c r="G193" s="39">
        <f>D193*E193</f>
        <v>0</v>
      </c>
      <c r="H193" s="43"/>
      <c r="I193" s="43"/>
      <c r="J193" s="4"/>
      <c r="K193" s="4"/>
    </row>
    <row r="194" spans="1:11">
      <c r="A194" s="24">
        <f t="shared" si="14"/>
        <v>8</v>
      </c>
      <c r="B194" s="22" t="s">
        <v>797</v>
      </c>
      <c r="C194" s="4" t="s">
        <v>272</v>
      </c>
      <c r="D194" s="877">
        <v>12935717</v>
      </c>
      <c r="E194" s="130">
        <f>+I189</f>
        <v>1</v>
      </c>
      <c r="F194" s="131"/>
      <c r="G194" s="39">
        <f>D194*E194</f>
        <v>12935717</v>
      </c>
      <c r="H194" s="43"/>
      <c r="I194" s="43"/>
      <c r="J194" s="4"/>
      <c r="K194" s="4"/>
    </row>
    <row r="195" spans="1:11">
      <c r="A195" s="24">
        <f t="shared" si="14"/>
        <v>9</v>
      </c>
      <c r="B195" s="22" t="s">
        <v>798</v>
      </c>
      <c r="C195" s="4" t="s">
        <v>95</v>
      </c>
      <c r="D195" s="877">
        <v>91501226</v>
      </c>
      <c r="E195" s="130">
        <v>0</v>
      </c>
      <c r="F195" s="131"/>
      <c r="G195" s="39">
        <f>D195*E195</f>
        <v>0</v>
      </c>
      <c r="H195" s="43"/>
      <c r="I195" s="132" t="s">
        <v>47</v>
      </c>
      <c r="J195" s="4"/>
      <c r="K195" s="4"/>
    </row>
    <row r="196" spans="1:11" ht="13.5" thickBot="1">
      <c r="A196" s="24">
        <f t="shared" si="14"/>
        <v>10</v>
      </c>
      <c r="B196" s="22" t="s">
        <v>799</v>
      </c>
      <c r="C196" s="4" t="s">
        <v>273</v>
      </c>
      <c r="D196" s="880">
        <v>32462198</v>
      </c>
      <c r="E196" s="130">
        <v>0</v>
      </c>
      <c r="F196" s="131"/>
      <c r="G196" s="46">
        <f>D196*E196</f>
        <v>0</v>
      </c>
      <c r="H196" s="43"/>
      <c r="I196" s="133" t="s">
        <v>48</v>
      </c>
      <c r="J196" s="4"/>
      <c r="K196" s="4"/>
    </row>
    <row r="197" spans="1:11">
      <c r="A197" s="24">
        <f t="shared" si="14"/>
        <v>11</v>
      </c>
      <c r="B197" s="22" t="s">
        <v>368</v>
      </c>
      <c r="C197" s="4" t="s">
        <v>234</v>
      </c>
      <c r="D197" s="39">
        <f>SUM(D193:D196)</f>
        <v>136899141</v>
      </c>
      <c r="E197" s="4"/>
      <c r="F197" s="4"/>
      <c r="G197" s="39">
        <f>SUM(G193:G196)</f>
        <v>12935717</v>
      </c>
      <c r="H197" s="134" t="s">
        <v>49</v>
      </c>
      <c r="I197" s="42">
        <f>IF(G197&gt;0,G197/D197,0)</f>
        <v>9.4490855863003556E-2</v>
      </c>
      <c r="J197" s="27" t="s">
        <v>49</v>
      </c>
      <c r="K197" s="4" t="s">
        <v>50</v>
      </c>
    </row>
    <row r="198" spans="1:11">
      <c r="A198" s="24"/>
      <c r="B198" s="22" t="s">
        <v>2</v>
      </c>
      <c r="C198" s="4" t="s">
        <v>2</v>
      </c>
      <c r="D198" s="3"/>
      <c r="E198" s="4"/>
      <c r="F198" s="4"/>
      <c r="G198" s="3"/>
      <c r="H198" s="3"/>
      <c r="I198" s="3"/>
      <c r="J198" s="3"/>
      <c r="K198" s="4"/>
    </row>
    <row r="200" spans="1:11" ht="13.5" thickBot="1">
      <c r="A200" s="24">
        <f>A197+1</f>
        <v>12</v>
      </c>
      <c r="B200" s="22" t="s">
        <v>51</v>
      </c>
      <c r="C200" s="4" t="s">
        <v>250</v>
      </c>
      <c r="D200" s="4"/>
      <c r="E200" s="4"/>
      <c r="F200" s="4"/>
      <c r="G200" s="4"/>
      <c r="H200" s="4"/>
      <c r="I200" s="129" t="s">
        <v>44</v>
      </c>
      <c r="J200" s="4"/>
      <c r="K200" s="4"/>
    </row>
    <row r="201" spans="1:11">
      <c r="A201" s="24">
        <f t="shared" ref="A201:A206" si="15">+A200+1</f>
        <v>13</v>
      </c>
      <c r="B201" s="22"/>
      <c r="C201" s="4"/>
      <c r="D201" s="4"/>
      <c r="E201" s="4"/>
      <c r="F201" s="4"/>
      <c r="G201" s="27" t="s">
        <v>52</v>
      </c>
      <c r="H201" s="4"/>
      <c r="I201" s="4"/>
      <c r="J201" s="4"/>
      <c r="K201" s="4"/>
    </row>
    <row r="202" spans="1:11" ht="13.5" thickBot="1">
      <c r="A202" s="24">
        <f t="shared" si="15"/>
        <v>14</v>
      </c>
      <c r="B202" s="22"/>
      <c r="C202" s="4"/>
      <c r="D202" s="35" t="s">
        <v>44</v>
      </c>
      <c r="E202" s="35" t="s">
        <v>53</v>
      </c>
      <c r="F202" s="4"/>
      <c r="G202" s="122" t="str">
        <f>"(Notes "&amp;A239&amp;", "&amp;A245&amp;", &amp; "&amp;A246&amp;")"</f>
        <v>(Notes K, Q, &amp; R)</v>
      </c>
      <c r="H202" s="4"/>
      <c r="I202" s="35" t="s">
        <v>54</v>
      </c>
      <c r="J202" s="4"/>
      <c r="K202" s="4"/>
    </row>
    <row r="203" spans="1:11">
      <c r="A203" s="24">
        <f t="shared" si="15"/>
        <v>15</v>
      </c>
      <c r="B203" s="22" t="s">
        <v>235</v>
      </c>
      <c r="C203" s="3" t="s">
        <v>763</v>
      </c>
      <c r="D203" s="33">
        <f>+'5-P3 Support'!F42</f>
        <v>3409418609</v>
      </c>
      <c r="E203" s="82">
        <f>+'5-P3 Support'!G42</f>
        <v>0.45590031584441404</v>
      </c>
      <c r="F203" s="41"/>
      <c r="G203" s="84">
        <f>+'5-P3 Support'!I42</f>
        <v>4.0263337461005806E-2</v>
      </c>
      <c r="H203" s="42"/>
      <c r="I203" s="82">
        <f>+'5-P3 Support'!K42</f>
        <v>1.8356068265422774E-2</v>
      </c>
      <c r="J203" s="104" t="s">
        <v>55</v>
      </c>
      <c r="K203" s="3"/>
    </row>
    <row r="204" spans="1:11">
      <c r="A204" s="24">
        <f t="shared" si="15"/>
        <v>16</v>
      </c>
      <c r="B204" s="22" t="s">
        <v>112</v>
      </c>
      <c r="C204" s="3" t="s">
        <v>764</v>
      </c>
      <c r="D204" s="33">
        <f>+'5-P3 Support'!F43</f>
        <v>0</v>
      </c>
      <c r="E204" s="82">
        <f>+'5-P3 Support'!G43</f>
        <v>0</v>
      </c>
      <c r="F204" s="41"/>
      <c r="G204" s="84">
        <f>+'5-P3 Support'!I43</f>
        <v>0</v>
      </c>
      <c r="H204" s="42"/>
      <c r="I204" s="82">
        <f>+'5-P3 Support'!K43</f>
        <v>0</v>
      </c>
      <c r="J204" s="4"/>
      <c r="K204" s="3"/>
    </row>
    <row r="205" spans="1:11" ht="13.5" thickBot="1">
      <c r="A205" s="24">
        <f t="shared" si="15"/>
        <v>17</v>
      </c>
      <c r="B205" s="22" t="s">
        <v>279</v>
      </c>
      <c r="C205" s="3" t="s">
        <v>765</v>
      </c>
      <c r="D205" s="36">
        <f>+'5-P3 Support'!F44</f>
        <v>4069011412.8900013</v>
      </c>
      <c r="E205" s="135">
        <f>+'5-P3 Support'!G44</f>
        <v>0.54409968415558596</v>
      </c>
      <c r="F205" s="136"/>
      <c r="G205" s="84">
        <f>+'5-P3 Support'!I44</f>
        <v>0.10349999999999999</v>
      </c>
      <c r="H205" s="42"/>
      <c r="I205" s="135">
        <f>+'5-P3 Support'!K44</f>
        <v>5.6314317310103147E-2</v>
      </c>
      <c r="J205" s="4"/>
      <c r="K205" s="3"/>
    </row>
    <row r="206" spans="1:11">
      <c r="A206" s="24">
        <f t="shared" si="15"/>
        <v>18</v>
      </c>
      <c r="B206" s="22" t="s">
        <v>227</v>
      </c>
      <c r="C206" s="3" t="s">
        <v>1097</v>
      </c>
      <c r="D206" s="33">
        <f>+'5-P3 Support'!F45</f>
        <v>7478430021.8900013</v>
      </c>
      <c r="E206" s="4" t="s">
        <v>2</v>
      </c>
      <c r="F206" s="4"/>
      <c r="G206" s="42"/>
      <c r="H206" s="42"/>
      <c r="I206" s="82">
        <f>+'5-P3 Support'!K45</f>
        <v>7.4670385575525924E-2</v>
      </c>
      <c r="J206" s="104" t="s">
        <v>56</v>
      </c>
      <c r="K206" s="3"/>
    </row>
    <row r="212" spans="1:11">
      <c r="A212" s="24"/>
      <c r="B212" s="23"/>
      <c r="C212" s="24"/>
      <c r="D212" s="4"/>
      <c r="E212" s="4"/>
      <c r="F212" s="4"/>
      <c r="G212" s="4"/>
      <c r="H212" s="25"/>
      <c r="I212" s="5"/>
      <c r="J212" s="4"/>
      <c r="K212" s="4"/>
    </row>
    <row r="213" spans="1:11">
      <c r="A213" s="24"/>
      <c r="B213" s="23"/>
      <c r="C213" s="24"/>
      <c r="D213" s="4"/>
      <c r="E213" s="4"/>
      <c r="F213" s="4"/>
      <c r="G213" s="4"/>
      <c r="H213" s="25"/>
      <c r="I213" s="5"/>
      <c r="J213" s="4"/>
      <c r="K213" s="4"/>
    </row>
    <row r="214" spans="1:11">
      <c r="A214" s="24"/>
      <c r="B214" s="22"/>
      <c r="C214" s="25"/>
      <c r="D214" s="4"/>
      <c r="E214" s="4"/>
      <c r="F214" s="4"/>
      <c r="G214" s="4"/>
      <c r="H214" s="25"/>
      <c r="I214" s="4"/>
      <c r="J214" s="25"/>
      <c r="K214" s="102" t="s">
        <v>113</v>
      </c>
    </row>
    <row r="215" spans="1:11">
      <c r="A215" s="24"/>
      <c r="B215" s="22"/>
      <c r="C215" s="25"/>
      <c r="D215" s="4"/>
      <c r="E215" s="4"/>
      <c r="F215" s="4"/>
      <c r="G215" s="4"/>
      <c r="H215" s="25"/>
      <c r="I215" s="4"/>
      <c r="J215" s="25"/>
      <c r="K215" s="4"/>
    </row>
    <row r="216" spans="1:11">
      <c r="A216" s="24"/>
      <c r="B216" s="23" t="s">
        <v>1</v>
      </c>
      <c r="C216" s="24"/>
      <c r="D216" s="27" t="s">
        <v>72</v>
      </c>
      <c r="E216" s="4"/>
      <c r="F216" s="4"/>
      <c r="G216" s="4"/>
      <c r="H216" s="25"/>
      <c r="I216" s="18"/>
      <c r="J216" s="3"/>
      <c r="K216" s="137" t="str">
        <f>K3</f>
        <v>For  the 12 months ended 12/31/2020</v>
      </c>
    </row>
    <row r="217" spans="1:11">
      <c r="A217" s="24"/>
      <c r="B217" s="23"/>
      <c r="C217" s="24"/>
      <c r="D217" s="27" t="s">
        <v>98</v>
      </c>
      <c r="E217" s="4"/>
      <c r="F217" s="4"/>
      <c r="G217" s="4"/>
      <c r="H217" s="25"/>
      <c r="I217" s="72"/>
      <c r="J217" s="3"/>
      <c r="K217" s="4"/>
    </row>
    <row r="218" spans="1:11">
      <c r="A218" s="24"/>
      <c r="B218" s="23"/>
      <c r="C218" s="24"/>
      <c r="D218" s="27" t="str">
        <f>+D177</f>
        <v>PECO Energy Company</v>
      </c>
      <c r="E218" s="4"/>
      <c r="F218" s="4"/>
      <c r="G218" s="4"/>
      <c r="H218" s="25"/>
      <c r="I218" s="72"/>
      <c r="J218" s="3"/>
      <c r="K218" s="4"/>
    </row>
    <row r="219" spans="1:11">
      <c r="A219" s="1023"/>
      <c r="B219" s="1023"/>
      <c r="C219" s="1023"/>
      <c r="D219" s="1023"/>
      <c r="E219" s="1023"/>
      <c r="F219" s="1023"/>
      <c r="G219" s="1023"/>
      <c r="H219" s="1023"/>
      <c r="I219" s="1023"/>
      <c r="J219" s="1023"/>
      <c r="K219" s="1023"/>
    </row>
    <row r="220" spans="1:11">
      <c r="A220" s="24"/>
      <c r="B220" s="23"/>
      <c r="C220" s="24"/>
      <c r="D220" s="4"/>
      <c r="E220" s="4"/>
      <c r="F220" s="4"/>
      <c r="G220" s="4"/>
      <c r="H220" s="25"/>
      <c r="I220" s="72"/>
      <c r="J220" s="3"/>
      <c r="K220" s="4"/>
    </row>
    <row r="221" spans="1:11">
      <c r="A221" s="24"/>
      <c r="B221" s="22" t="s">
        <v>57</v>
      </c>
      <c r="C221" s="24"/>
      <c r="D221" s="4"/>
      <c r="E221" s="4"/>
      <c r="F221" s="4"/>
      <c r="G221" s="4"/>
      <c r="H221" s="25"/>
      <c r="I221" s="4"/>
      <c r="J221" s="25"/>
      <c r="K221" s="4"/>
    </row>
    <row r="222" spans="1:11">
      <c r="A222" s="24"/>
      <c r="B222" s="22" t="s">
        <v>1271</v>
      </c>
      <c r="C222" s="24"/>
      <c r="D222" s="4"/>
      <c r="E222" s="4"/>
      <c r="F222" s="4"/>
      <c r="G222" s="4"/>
      <c r="H222" s="25"/>
      <c r="I222" s="4"/>
      <c r="J222" s="25"/>
      <c r="K222" s="4"/>
    </row>
    <row r="223" spans="1:11">
      <c r="A223" s="24"/>
      <c r="B223" s="22"/>
      <c r="C223" s="25"/>
      <c r="D223" s="4"/>
      <c r="E223" s="4"/>
      <c r="F223" s="4"/>
      <c r="G223" s="4"/>
      <c r="H223" s="25"/>
      <c r="I223" s="4"/>
      <c r="J223" s="25"/>
      <c r="K223" s="4"/>
    </row>
    <row r="224" spans="1:11" ht="13.5" thickBot="1">
      <c r="A224" s="35" t="s">
        <v>182</v>
      </c>
      <c r="B224" s="1024"/>
      <c r="C224" s="1024"/>
      <c r="D224" s="138"/>
      <c r="E224" s="138"/>
      <c r="F224" s="138"/>
      <c r="G224" s="138"/>
      <c r="H224" s="139"/>
      <c r="I224" s="138"/>
      <c r="J224" s="139"/>
      <c r="K224" s="138"/>
    </row>
    <row r="225" spans="1:11">
      <c r="A225" s="139" t="s">
        <v>183</v>
      </c>
      <c r="B225" s="1020" t="s">
        <v>369</v>
      </c>
      <c r="C225" s="1020"/>
      <c r="D225" s="1020"/>
      <c r="E225" s="1020"/>
      <c r="F225" s="1020"/>
      <c r="G225" s="1020"/>
      <c r="H225" s="1020"/>
      <c r="I225" s="1020"/>
      <c r="J225" s="1020"/>
      <c r="K225" s="1020"/>
    </row>
    <row r="226" spans="1:11" ht="29.25" customHeight="1">
      <c r="A226" s="139" t="s">
        <v>184</v>
      </c>
      <c r="B226" s="1020" t="s">
        <v>355</v>
      </c>
      <c r="C226" s="1020"/>
      <c r="D226" s="1020"/>
      <c r="E226" s="1020"/>
      <c r="F226" s="1020"/>
      <c r="G226" s="1020"/>
      <c r="H226" s="1020"/>
      <c r="I226" s="1020"/>
      <c r="J226" s="1020"/>
      <c r="K226" s="1020"/>
    </row>
    <row r="227" spans="1:11">
      <c r="A227" s="139" t="s">
        <v>60</v>
      </c>
      <c r="B227" s="1025" t="s">
        <v>369</v>
      </c>
      <c r="C227" s="1026"/>
      <c r="D227" s="1026"/>
      <c r="E227" s="1026"/>
      <c r="F227" s="1026"/>
      <c r="G227" s="1026"/>
      <c r="H227" s="1026"/>
      <c r="I227" s="1026"/>
      <c r="J227" s="1026"/>
      <c r="K227" s="1026"/>
    </row>
    <row r="228" spans="1:11" ht="17.45" customHeight="1">
      <c r="A228" s="139" t="s">
        <v>61</v>
      </c>
      <c r="B228" s="1020" t="s">
        <v>1334</v>
      </c>
      <c r="C228" s="1020"/>
      <c r="D228" s="1020"/>
      <c r="E228" s="1020"/>
      <c r="F228" s="1020"/>
      <c r="G228" s="1020"/>
      <c r="H228" s="1020"/>
      <c r="I228" s="1020"/>
      <c r="J228" s="1020"/>
      <c r="K228" s="1020"/>
    </row>
    <row r="229" spans="1:11" ht="74.45" customHeight="1">
      <c r="A229" s="139" t="s">
        <v>62</v>
      </c>
      <c r="B229" s="1020" t="s">
        <v>1392</v>
      </c>
      <c r="C229" s="1020"/>
      <c r="D229" s="1020"/>
      <c r="E229" s="1020"/>
      <c r="F229" s="1020"/>
      <c r="G229" s="1020"/>
      <c r="H229" s="1020"/>
      <c r="I229" s="1020"/>
      <c r="J229" s="1020"/>
      <c r="K229" s="1020"/>
    </row>
    <row r="230" spans="1:11" ht="30" customHeight="1">
      <c r="A230" s="139" t="s">
        <v>63</v>
      </c>
      <c r="B230" s="1020" t="s">
        <v>114</v>
      </c>
      <c r="C230" s="1020"/>
      <c r="D230" s="1020"/>
      <c r="E230" s="1020"/>
      <c r="F230" s="1020"/>
      <c r="G230" s="1020"/>
      <c r="H230" s="1020"/>
      <c r="I230" s="1020"/>
      <c r="J230" s="1020"/>
      <c r="K230" s="1020"/>
    </row>
    <row r="231" spans="1:11" ht="45.75" customHeight="1">
      <c r="A231" s="139" t="s">
        <v>64</v>
      </c>
      <c r="B231" s="1020" t="s">
        <v>430</v>
      </c>
      <c r="C231" s="1020"/>
      <c r="D231" s="1020"/>
      <c r="E231" s="1020"/>
      <c r="F231" s="1020"/>
      <c r="G231" s="1020"/>
      <c r="H231" s="1020"/>
      <c r="I231" s="1020"/>
      <c r="J231" s="1020"/>
      <c r="K231" s="1020"/>
    </row>
    <row r="232" spans="1:11">
      <c r="A232" s="139"/>
      <c r="B232" s="140" t="s">
        <v>68</v>
      </c>
      <c r="C232" s="140" t="s">
        <v>69</v>
      </c>
      <c r="D232" s="881">
        <v>0.21</v>
      </c>
      <c r="E232" s="140"/>
      <c r="F232" s="140"/>
      <c r="G232" s="140"/>
      <c r="H232" s="140"/>
      <c r="I232" s="140"/>
      <c r="J232" s="140"/>
      <c r="K232" s="140"/>
    </row>
    <row r="233" spans="1:11">
      <c r="A233" s="139"/>
      <c r="B233" s="140"/>
      <c r="C233" s="140" t="s">
        <v>70</v>
      </c>
      <c r="D233" s="882">
        <v>9.9900000000000003E-2</v>
      </c>
      <c r="E233" s="140" t="s">
        <v>115</v>
      </c>
      <c r="F233" s="140"/>
      <c r="G233" s="140"/>
      <c r="H233" s="140"/>
      <c r="I233" s="140"/>
      <c r="J233" s="140"/>
      <c r="K233" s="140"/>
    </row>
    <row r="234" spans="1:11">
      <c r="A234" s="139"/>
      <c r="B234" s="140"/>
      <c r="C234" s="140" t="s">
        <v>71</v>
      </c>
      <c r="D234" s="141">
        <v>0</v>
      </c>
      <c r="E234" s="140" t="s">
        <v>116</v>
      </c>
      <c r="F234" s="140"/>
      <c r="G234" s="140"/>
      <c r="H234" s="140"/>
      <c r="I234" s="140"/>
      <c r="J234" s="140"/>
      <c r="K234" s="140"/>
    </row>
    <row r="235" spans="1:11">
      <c r="A235" s="139"/>
      <c r="B235" s="140"/>
      <c r="C235" s="140"/>
      <c r="D235" s="142"/>
      <c r="E235" s="140"/>
      <c r="F235" s="140"/>
      <c r="G235" s="140"/>
      <c r="H235" s="140"/>
      <c r="I235" s="140"/>
      <c r="J235" s="140"/>
      <c r="K235" s="140"/>
    </row>
    <row r="236" spans="1:11" ht="19.5" customHeight="1">
      <c r="A236" s="139" t="s">
        <v>65</v>
      </c>
      <c r="B236" s="1020" t="s">
        <v>118</v>
      </c>
      <c r="C236" s="1020"/>
      <c r="D236" s="1020"/>
      <c r="E236" s="1020"/>
      <c r="F236" s="1020"/>
      <c r="G236" s="1020"/>
      <c r="H236" s="1020"/>
      <c r="I236" s="1020"/>
      <c r="J236" s="1020"/>
      <c r="K236" s="1020"/>
    </row>
    <row r="237" spans="1:11" ht="31.5" customHeight="1">
      <c r="A237" s="139" t="s">
        <v>66</v>
      </c>
      <c r="B237" s="1020" t="s">
        <v>119</v>
      </c>
      <c r="C237" s="1020"/>
      <c r="D237" s="1020"/>
      <c r="E237" s="1020"/>
      <c r="F237" s="1020"/>
      <c r="G237" s="1020"/>
      <c r="H237" s="1020"/>
      <c r="I237" s="1020"/>
      <c r="J237" s="1020"/>
      <c r="K237" s="1020"/>
    </row>
    <row r="238" spans="1:11">
      <c r="A238" s="139" t="s">
        <v>67</v>
      </c>
      <c r="B238" s="1025" t="s">
        <v>369</v>
      </c>
      <c r="C238" s="1026"/>
      <c r="D238" s="1026"/>
      <c r="E238" s="1026"/>
      <c r="F238" s="1026"/>
      <c r="G238" s="1026"/>
      <c r="H238" s="1026"/>
      <c r="I238" s="1026"/>
      <c r="J238" s="1026"/>
      <c r="K238" s="1026"/>
    </row>
    <row r="239" spans="1:11" ht="28.9" customHeight="1">
      <c r="A239" s="139" t="s">
        <v>99</v>
      </c>
      <c r="B239" s="1020" t="s">
        <v>1386</v>
      </c>
      <c r="C239" s="1020"/>
      <c r="D239" s="1020"/>
      <c r="E239" s="1020"/>
      <c r="F239" s="1020"/>
      <c r="G239" s="1020"/>
      <c r="H239" s="1020"/>
      <c r="I239" s="1020"/>
      <c r="J239" s="1020"/>
      <c r="K239" s="1020"/>
    </row>
    <row r="240" spans="1:11">
      <c r="A240" s="139" t="s">
        <v>185</v>
      </c>
      <c r="B240" s="1020" t="s">
        <v>369</v>
      </c>
      <c r="C240" s="1020"/>
      <c r="D240" s="1020"/>
      <c r="E240" s="1020"/>
      <c r="F240" s="1020"/>
      <c r="G240" s="1020"/>
      <c r="H240" s="1020"/>
      <c r="I240" s="1020"/>
      <c r="J240" s="1020"/>
      <c r="K240" s="1020"/>
    </row>
    <row r="241" spans="1:11">
      <c r="A241" s="139" t="s">
        <v>117</v>
      </c>
      <c r="B241" s="143" t="s">
        <v>369</v>
      </c>
      <c r="C241" s="144"/>
      <c r="D241" s="144"/>
      <c r="E241" s="144"/>
      <c r="F241" s="144"/>
      <c r="G241" s="144"/>
      <c r="H241" s="144"/>
      <c r="I241" s="144"/>
      <c r="J241" s="144"/>
      <c r="K241" s="144"/>
    </row>
    <row r="242" spans="1:11">
      <c r="A242" s="139" t="s">
        <v>186</v>
      </c>
      <c r="B242" s="1021" t="s">
        <v>1483</v>
      </c>
      <c r="C242" s="1021"/>
      <c r="D242" s="1021"/>
      <c r="E242" s="1021"/>
      <c r="F242" s="1021"/>
      <c r="G242" s="1021"/>
      <c r="H242" s="1021"/>
      <c r="I242" s="1021"/>
      <c r="J242" s="1021"/>
      <c r="K242" s="1021"/>
    </row>
    <row r="243" spans="1:11" ht="28.15" customHeight="1">
      <c r="A243" s="139" t="s">
        <v>120</v>
      </c>
      <c r="B243" s="1021" t="s">
        <v>1481</v>
      </c>
      <c r="C243" s="1021"/>
      <c r="D243" s="1021"/>
      <c r="E243" s="1021"/>
      <c r="F243" s="1021"/>
      <c r="G243" s="1021"/>
      <c r="H243" s="1021"/>
      <c r="I243" s="1021"/>
      <c r="J243" s="1021"/>
      <c r="K243" s="1021"/>
    </row>
    <row r="244" spans="1:11" ht="13.15" customHeight="1">
      <c r="A244" s="139" t="s">
        <v>121</v>
      </c>
      <c r="B244" s="1021" t="s">
        <v>1482</v>
      </c>
      <c r="C244" s="1021"/>
      <c r="D244" s="1021"/>
      <c r="E244" s="1021"/>
      <c r="F244" s="1021"/>
      <c r="G244" s="1021"/>
      <c r="H244" s="1021"/>
      <c r="I244" s="1021"/>
      <c r="J244" s="1021"/>
      <c r="K244" s="1021"/>
    </row>
    <row r="245" spans="1:11">
      <c r="A245" s="139" t="s">
        <v>122</v>
      </c>
      <c r="B245" s="1021" t="s">
        <v>1199</v>
      </c>
      <c r="C245" s="1021"/>
      <c r="D245" s="1021"/>
      <c r="E245" s="1021"/>
      <c r="F245" s="1021"/>
      <c r="G245" s="1021"/>
      <c r="H245" s="1021"/>
      <c r="I245" s="1021"/>
      <c r="J245" s="1021"/>
      <c r="K245" s="1021"/>
    </row>
    <row r="246" spans="1:11">
      <c r="A246" s="139" t="s">
        <v>123</v>
      </c>
      <c r="B246" s="1029" t="s">
        <v>1272</v>
      </c>
      <c r="C246" s="1029"/>
      <c r="D246" s="1029"/>
      <c r="E246" s="1029"/>
      <c r="F246" s="1029"/>
      <c r="G246" s="1029"/>
      <c r="H246" s="1029"/>
      <c r="I246" s="1029"/>
      <c r="J246" s="1029"/>
      <c r="K246" s="1029"/>
    </row>
    <row r="247" spans="1:11">
      <c r="A247" s="139" t="s">
        <v>124</v>
      </c>
      <c r="B247" s="1028" t="s">
        <v>1398</v>
      </c>
      <c r="C247" s="1028"/>
      <c r="D247" s="1028"/>
      <c r="E247" s="1028"/>
      <c r="F247" s="1028"/>
      <c r="G247" s="1028"/>
      <c r="H247" s="1028"/>
      <c r="I247" s="1028"/>
      <c r="J247" s="1028"/>
      <c r="K247" s="1028"/>
    </row>
    <row r="248" spans="1:11" s="126" customFormat="1" ht="25.9" customHeight="1">
      <c r="A248" s="139" t="s">
        <v>125</v>
      </c>
      <c r="B248" s="1027" t="s">
        <v>1387</v>
      </c>
      <c r="C248" s="1027"/>
      <c r="D248" s="1027"/>
      <c r="E248" s="1027"/>
      <c r="F248" s="1027"/>
      <c r="G248" s="1027"/>
      <c r="H248" s="1027"/>
      <c r="I248" s="1027"/>
      <c r="J248" s="1027"/>
      <c r="K248" s="1027"/>
    </row>
    <row r="249" spans="1:11" s="126" customFormat="1">
      <c r="A249" s="139" t="s">
        <v>214</v>
      </c>
      <c r="B249" s="145" t="s">
        <v>298</v>
      </c>
      <c r="C249" s="145"/>
      <c r="D249" s="145"/>
      <c r="E249" s="145"/>
      <c r="F249" s="145"/>
      <c r="G249" s="145"/>
      <c r="H249" s="140"/>
      <c r="I249" s="9"/>
      <c r="J249" s="10"/>
      <c r="K249" s="10"/>
    </row>
    <row r="250" spans="1:11" s="126" customFormat="1">
      <c r="A250" s="139" t="s">
        <v>249</v>
      </c>
      <c r="B250" s="146" t="s">
        <v>1388</v>
      </c>
      <c r="C250" s="146"/>
      <c r="D250" s="146"/>
      <c r="E250" s="146"/>
      <c r="F250" s="146"/>
      <c r="G250" s="146"/>
      <c r="H250" s="146"/>
      <c r="I250" s="146"/>
      <c r="J250" s="146"/>
      <c r="K250" s="146"/>
    </row>
    <row r="251" spans="1:11" ht="45" customHeight="1">
      <c r="A251" s="139" t="s">
        <v>286</v>
      </c>
      <c r="B251" s="1020" t="s">
        <v>1222</v>
      </c>
      <c r="C251" s="1020"/>
      <c r="D251" s="1020"/>
      <c r="E251" s="1020"/>
      <c r="F251" s="1020"/>
      <c r="G251" s="1020"/>
      <c r="H251" s="1020"/>
      <c r="I251" s="1020"/>
      <c r="J251" s="1020"/>
      <c r="K251" s="1020"/>
    </row>
    <row r="252" spans="1:11">
      <c r="A252" s="139" t="s">
        <v>323</v>
      </c>
      <c r="B252" s="21" t="s">
        <v>769</v>
      </c>
    </row>
    <row r="253" spans="1:11">
      <c r="A253" s="139" t="s">
        <v>437</v>
      </c>
      <c r="B253" s="147" t="s">
        <v>772</v>
      </c>
    </row>
    <row r="254" spans="1:11">
      <c r="B254" s="147" t="s">
        <v>436</v>
      </c>
    </row>
    <row r="255" spans="1:11">
      <c r="A255" s="21" t="s">
        <v>1187</v>
      </c>
      <c r="B255" s="147" t="s">
        <v>1226</v>
      </c>
    </row>
  </sheetData>
  <sheetProtection algorithmName="SHA-512" hashValue="/Zup5JHtkNBGws/0KM8wzBL/cgGyfREdtC8N/zetG916CCv2hMFlEtLxt4tp3RO3proqzyPSr54gUVQFiKEAGQ==" saltValue="Wgjmno7P/WSSGeWJmqzyyw==" spinCount="100000" sheet="1" objects="1" scenarios="1"/>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5">
    <mergeCell ref="B246:K246"/>
    <mergeCell ref="B231:K231"/>
    <mergeCell ref="B236:K236"/>
    <mergeCell ref="B237:K237"/>
    <mergeCell ref="B238:K238"/>
    <mergeCell ref="B239:K239"/>
    <mergeCell ref="B242:K242"/>
    <mergeCell ref="B243:K243"/>
    <mergeCell ref="B244:K244"/>
    <mergeCell ref="B251:K251"/>
    <mergeCell ref="B245:K245"/>
    <mergeCell ref="A40:K40"/>
    <mergeCell ref="A109:K109"/>
    <mergeCell ref="A178:K178"/>
    <mergeCell ref="B230:K230"/>
    <mergeCell ref="A219:K219"/>
    <mergeCell ref="B224:C224"/>
    <mergeCell ref="B225:K225"/>
    <mergeCell ref="B226:K226"/>
    <mergeCell ref="B227:K227"/>
    <mergeCell ref="B228:K228"/>
    <mergeCell ref="B229:K229"/>
    <mergeCell ref="B248:K248"/>
    <mergeCell ref="B240:K240"/>
    <mergeCell ref="B247:K247"/>
  </mergeCells>
  <phoneticPr fontId="0" type="noConversion"/>
  <pageMargins left="0.25" right="0.25" top="0.75" bottom="0.75" header="0.3" footer="0.3"/>
  <pageSetup scale="55" fitToHeight="0" orientation="landscape" r:id="rId2"/>
  <rowBreaks count="4" manualBreakCount="4">
    <brk id="33" max="10" man="1"/>
    <brk id="103" max="16383" man="1"/>
    <brk id="171" max="10" man="1"/>
    <brk id="212"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8"/>
  <sheetViews>
    <sheetView zoomScale="80" zoomScaleNormal="80" workbookViewId="0">
      <selection activeCell="I8" sqref="I8:I9"/>
    </sheetView>
  </sheetViews>
  <sheetFormatPr defaultColWidth="8.77734375" defaultRowHeight="15.75"/>
  <cols>
    <col min="1" max="1" width="4.77734375" style="748" customWidth="1"/>
    <col min="2" max="2" width="5.109375" style="16" customWidth="1"/>
    <col min="3" max="3" width="17.33203125" style="16" customWidth="1"/>
    <col min="4" max="8" width="8.77734375" style="16"/>
    <col min="9" max="9" width="15.33203125" style="16" bestFit="1" customWidth="1"/>
    <col min="10" max="16384" width="8.77734375" style="16"/>
  </cols>
  <sheetData>
    <row r="1" spans="1:13" s="541" customFormat="1" ht="15" customHeight="1">
      <c r="A1" s="852"/>
      <c r="B1" s="1079" t="s">
        <v>1211</v>
      </c>
      <c r="C1" s="1079"/>
      <c r="D1" s="1079"/>
      <c r="E1" s="1079"/>
      <c r="F1" s="1079"/>
      <c r="G1" s="1079"/>
      <c r="H1" s="1079"/>
      <c r="I1" s="1079"/>
      <c r="J1" s="866"/>
      <c r="M1" s="867"/>
    </row>
    <row r="2" spans="1:13" s="541" customFormat="1" ht="15" customHeight="1">
      <c r="A2" s="852"/>
      <c r="B2" s="1080" t="s">
        <v>1209</v>
      </c>
      <c r="C2" s="1080"/>
      <c r="D2" s="1080"/>
      <c r="E2" s="1080"/>
      <c r="F2" s="1080"/>
      <c r="G2" s="1080"/>
      <c r="H2" s="1080"/>
      <c r="I2" s="1080"/>
      <c r="J2" s="866"/>
      <c r="K2" s="866"/>
      <c r="M2" s="868"/>
    </row>
    <row r="3" spans="1:13" s="541" customFormat="1" ht="15" customHeight="1">
      <c r="A3" s="852"/>
      <c r="B3" s="1081" t="str">
        <f>+'Attachment H-7'!D5</f>
        <v>PECO Energy Company</v>
      </c>
      <c r="C3" s="1081"/>
      <c r="D3" s="1081"/>
      <c r="E3" s="1081"/>
      <c r="F3" s="1081"/>
      <c r="G3" s="1081"/>
      <c r="H3" s="1081"/>
      <c r="I3" s="1081"/>
      <c r="J3" s="866"/>
      <c r="K3" s="866"/>
    </row>
    <row r="4" spans="1:13">
      <c r="J4" s="16" t="s">
        <v>207</v>
      </c>
    </row>
    <row r="5" spans="1:13">
      <c r="A5" s="748">
        <v>1</v>
      </c>
      <c r="B5" s="16" t="s">
        <v>1201</v>
      </c>
      <c r="I5" s="233">
        <f>IF('4- Rate Base'!J44&gt;33000000, 33000000, '4- Rate Base'!J44)</f>
        <v>27745514.100403879</v>
      </c>
      <c r="J5" s="95" t="s">
        <v>1372</v>
      </c>
    </row>
    <row r="7" spans="1:13">
      <c r="B7" s="16" t="s">
        <v>1376</v>
      </c>
    </row>
    <row r="8" spans="1:13">
      <c r="A8" s="748">
        <v>2</v>
      </c>
      <c r="C8" s="16" t="s">
        <v>1204</v>
      </c>
      <c r="I8" s="848">
        <v>-8756445.6909459792</v>
      </c>
      <c r="J8" s="95" t="s">
        <v>1373</v>
      </c>
    </row>
    <row r="9" spans="1:13">
      <c r="A9" s="748">
        <v>3</v>
      </c>
      <c r="C9" s="16" t="s">
        <v>1205</v>
      </c>
      <c r="I9" s="987">
        <v>-8932943.7432496455</v>
      </c>
      <c r="J9" s="95" t="s">
        <v>1374</v>
      </c>
    </row>
    <row r="10" spans="1:13">
      <c r="A10" s="748">
        <v>4</v>
      </c>
      <c r="C10" s="16" t="s">
        <v>1203</v>
      </c>
      <c r="I10" s="233">
        <f>AVERAGE(I8:I9)</f>
        <v>-8844694.7170978114</v>
      </c>
      <c r="J10" s="749" t="s">
        <v>1375</v>
      </c>
    </row>
    <row r="11" spans="1:13">
      <c r="J11" s="749"/>
    </row>
    <row r="12" spans="1:13">
      <c r="A12" s="748">
        <v>5</v>
      </c>
      <c r="B12" s="16" t="s">
        <v>1377</v>
      </c>
      <c r="I12" s="821">
        <f>-'9 - EDIT'!P44</f>
        <v>-3109892</v>
      </c>
      <c r="J12" s="95" t="s">
        <v>1371</v>
      </c>
    </row>
    <row r="13" spans="1:13">
      <c r="J13" s="749"/>
    </row>
    <row r="14" spans="1:13">
      <c r="A14" s="748">
        <v>6</v>
      </c>
      <c r="B14" s="16" t="s">
        <v>1206</v>
      </c>
      <c r="I14" s="821">
        <f>I5+I10+I12</f>
        <v>15790927.383306067</v>
      </c>
      <c r="J14" s="749" t="s">
        <v>1378</v>
      </c>
    </row>
    <row r="15" spans="1:13">
      <c r="J15" s="749"/>
    </row>
    <row r="16" spans="1:13">
      <c r="A16" s="748">
        <v>7</v>
      </c>
      <c r="B16" s="16" t="s">
        <v>1207</v>
      </c>
      <c r="I16" s="233">
        <f>I14*'Attachment H-7'!I206*(1+'Attachment H-7'!D153)</f>
        <v>1540431.0711455278</v>
      </c>
      <c r="J16" s="95" t="s">
        <v>1379</v>
      </c>
    </row>
    <row r="17" spans="1:17">
      <c r="J17" s="749"/>
    </row>
    <row r="18" spans="1:17">
      <c r="A18" s="748">
        <v>8</v>
      </c>
      <c r="B18" s="16" t="s">
        <v>1394</v>
      </c>
      <c r="I18" s="869">
        <v>0.6</v>
      </c>
    </row>
    <row r="20" spans="1:17">
      <c r="A20" s="748">
        <v>9</v>
      </c>
      <c r="B20" s="16" t="s">
        <v>1208</v>
      </c>
      <c r="I20" s="821">
        <f>I16*I18</f>
        <v>924258.64268731663</v>
      </c>
      <c r="J20" s="16" t="s">
        <v>1380</v>
      </c>
    </row>
    <row r="27" spans="1:17" ht="16.5" thickBot="1">
      <c r="A27" s="550" t="s">
        <v>324</v>
      </c>
    </row>
    <row r="28" spans="1:17" ht="18" customHeight="1">
      <c r="A28" s="1082" t="s">
        <v>1202</v>
      </c>
      <c r="B28" s="1082"/>
      <c r="C28" s="1082"/>
      <c r="D28" s="1082"/>
      <c r="E28" s="1082"/>
      <c r="F28" s="1082"/>
      <c r="G28" s="1082"/>
      <c r="H28" s="1082"/>
      <c r="I28" s="1082"/>
      <c r="J28" s="1082"/>
      <c r="K28" s="1082"/>
      <c r="L28" s="1082"/>
      <c r="M28" s="1082"/>
      <c r="N28" s="1082"/>
      <c r="O28" s="1082"/>
      <c r="P28" s="1082"/>
      <c r="Q28" s="1082"/>
    </row>
  </sheetData>
  <sheetProtection algorithmName="SHA-512" hashValue="Q8uEWv8zmwSyqeQdnw8Gq/ZUMCssH0ju8UAErZgvgndjuGsUCSl6yWaUc2XtdEe3/6wL19r3UlVTOWui7ckAHg==" saltValue="mMsf8z0a1KDQjKT7WWH11Q==" spinCount="100000" sheet="1" objects="1" scenarios="1"/>
  <mergeCells count="4">
    <mergeCell ref="B1:I1"/>
    <mergeCell ref="B2:I2"/>
    <mergeCell ref="B3:I3"/>
    <mergeCell ref="A28:Q28"/>
  </mergeCells>
  <pageMargins left="0.7" right="0.7" top="0.75" bottom="0.75" header="0.3" footer="0.3"/>
  <pageSetup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ACCE-D7AF-433A-A7C8-053BE4E18EE6}">
  <sheetPr>
    <pageSetUpPr fitToPage="1"/>
  </sheetPr>
  <dimension ref="A1:Q44"/>
  <sheetViews>
    <sheetView zoomScale="50" zoomScaleNormal="50" workbookViewId="0">
      <selection activeCell="K26" sqref="K26"/>
    </sheetView>
  </sheetViews>
  <sheetFormatPr defaultColWidth="8.77734375" defaultRowHeight="15.75"/>
  <cols>
    <col min="1" max="1" width="8.77734375" style="748"/>
    <col min="2" max="2" width="62.33203125" style="16" customWidth="1"/>
    <col min="3" max="3" width="20.44140625" style="16" customWidth="1"/>
    <col min="4" max="15" width="19.5546875" style="16" bestFit="1" customWidth="1"/>
    <col min="16" max="16" width="19.88671875" style="16" bestFit="1" customWidth="1"/>
    <col min="17" max="18" width="15.5546875" style="16" customWidth="1"/>
    <col min="19" max="16384" width="8.77734375" style="16"/>
  </cols>
  <sheetData>
    <row r="1" spans="1:17" s="749" customFormat="1" ht="20.45" customHeight="1">
      <c r="A1" s="748"/>
      <c r="B1" s="748"/>
      <c r="C1" s="1070" t="s">
        <v>1280</v>
      </c>
      <c r="D1" s="1070"/>
      <c r="E1" s="1070"/>
      <c r="F1" s="1070"/>
      <c r="G1" s="1070"/>
      <c r="H1" s="1070"/>
      <c r="I1" s="1070"/>
      <c r="J1" s="1070"/>
      <c r="K1" s="1070"/>
      <c r="L1" s="1070"/>
      <c r="M1" s="1070"/>
      <c r="N1" s="1070"/>
      <c r="O1" s="1070"/>
      <c r="P1" s="1070"/>
      <c r="Q1" s="1070"/>
    </row>
    <row r="2" spans="1:17" s="749" customFormat="1" ht="20.45" customHeight="1">
      <c r="A2" s="748"/>
      <c r="B2" s="748"/>
      <c r="C2" s="1070" t="s">
        <v>1281</v>
      </c>
      <c r="D2" s="1070"/>
      <c r="E2" s="1070"/>
      <c r="F2" s="1070"/>
      <c r="G2" s="1070"/>
      <c r="H2" s="1070"/>
      <c r="I2" s="1070"/>
      <c r="J2" s="1070"/>
      <c r="K2" s="1070"/>
      <c r="L2" s="1070"/>
      <c r="M2" s="1070"/>
      <c r="N2" s="1070"/>
      <c r="O2" s="1070"/>
      <c r="P2" s="1070"/>
      <c r="Q2" s="1070"/>
    </row>
    <row r="3" spans="1:17" s="749" customFormat="1" ht="20.45" customHeight="1">
      <c r="A3" s="748"/>
      <c r="B3" s="748"/>
      <c r="C3" s="1070" t="s">
        <v>681</v>
      </c>
      <c r="D3" s="1070"/>
      <c r="E3" s="1070"/>
      <c r="F3" s="1070"/>
      <c r="G3" s="1070"/>
      <c r="H3" s="1070"/>
      <c r="I3" s="1070"/>
      <c r="J3" s="1070"/>
      <c r="K3" s="1070"/>
      <c r="L3" s="1070"/>
      <c r="M3" s="1070"/>
      <c r="N3" s="1070"/>
      <c r="O3" s="1070"/>
      <c r="P3" s="1070"/>
      <c r="Q3" s="1070"/>
    </row>
    <row r="4" spans="1:17" ht="20.45" customHeight="1">
      <c r="A4" s="870" t="s">
        <v>8</v>
      </c>
    </row>
    <row r="5" spans="1:17" ht="20.45" customHeight="1">
      <c r="B5" s="871" t="s">
        <v>1282</v>
      </c>
    </row>
    <row r="6" spans="1:17" ht="20.45" customHeight="1">
      <c r="A6" s="748">
        <v>1</v>
      </c>
      <c r="B6" s="16" t="s">
        <v>1283</v>
      </c>
      <c r="G6" s="848">
        <v>122359442</v>
      </c>
    </row>
    <row r="7" spans="1:17" ht="20.45" customHeight="1">
      <c r="A7" s="748">
        <f>A6+1</f>
        <v>2</v>
      </c>
      <c r="B7" s="16" t="s">
        <v>1284</v>
      </c>
      <c r="G7" s="848">
        <v>2310300</v>
      </c>
    </row>
    <row r="8" spans="1:17" ht="20.45" customHeight="1">
      <c r="A8" s="748">
        <f t="shared" ref="A8:A13" si="0">A7+1</f>
        <v>3</v>
      </c>
      <c r="B8" s="16" t="s">
        <v>1579</v>
      </c>
      <c r="G8" s="848">
        <v>455601</v>
      </c>
    </row>
    <row r="9" spans="1:17" ht="20.45" customHeight="1">
      <c r="A9" s="748">
        <f t="shared" si="0"/>
        <v>4</v>
      </c>
      <c r="B9" s="16" t="s">
        <v>1285</v>
      </c>
      <c r="G9" s="848"/>
    </row>
    <row r="10" spans="1:17" ht="20.45" customHeight="1">
      <c r="A10" s="748">
        <f t="shared" si="0"/>
        <v>5</v>
      </c>
      <c r="B10" s="16" t="s">
        <v>1580</v>
      </c>
      <c r="G10" s="848"/>
    </row>
    <row r="11" spans="1:17" ht="20.45" customHeight="1">
      <c r="A11" s="748">
        <f t="shared" si="0"/>
        <v>6</v>
      </c>
      <c r="B11" s="16" t="s">
        <v>1286</v>
      </c>
      <c r="G11" s="848">
        <v>12149229</v>
      </c>
    </row>
    <row r="12" spans="1:17" ht="20.45" customHeight="1">
      <c r="A12" s="748">
        <f t="shared" si="0"/>
        <v>7</v>
      </c>
      <c r="B12" s="16" t="s">
        <v>1287</v>
      </c>
      <c r="G12" s="848"/>
    </row>
    <row r="13" spans="1:17" ht="20.45" customHeight="1">
      <c r="A13" s="748">
        <f t="shared" si="0"/>
        <v>8</v>
      </c>
      <c r="B13" s="850" t="s">
        <v>1288</v>
      </c>
      <c r="G13" s="872">
        <f>G6+G7+G8-G9-G10+G11-G12</f>
        <v>137274572</v>
      </c>
    </row>
    <row r="14" spans="1:17" ht="20.45" customHeight="1"/>
    <row r="15" spans="1:17" ht="20.45" customHeight="1">
      <c r="B15" s="850" t="s">
        <v>1289</v>
      </c>
    </row>
    <row r="16" spans="1:17" ht="20.45" customHeight="1">
      <c r="B16" s="850"/>
    </row>
    <row r="17" spans="1:16" ht="20.45" customHeight="1">
      <c r="B17" s="850" t="s">
        <v>1290</v>
      </c>
      <c r="C17" s="851" t="s">
        <v>195</v>
      </c>
      <c r="D17" s="851" t="s">
        <v>84</v>
      </c>
      <c r="E17" s="851" t="s">
        <v>83</v>
      </c>
      <c r="F17" s="851" t="s">
        <v>171</v>
      </c>
      <c r="G17" s="851" t="s">
        <v>74</v>
      </c>
      <c r="H17" s="851" t="s">
        <v>73</v>
      </c>
      <c r="I17" s="851" t="s">
        <v>93</v>
      </c>
      <c r="J17" s="851" t="s">
        <v>81</v>
      </c>
      <c r="K17" s="851" t="s">
        <v>172</v>
      </c>
      <c r="L17" s="851" t="s">
        <v>79</v>
      </c>
      <c r="M17" s="851" t="s">
        <v>85</v>
      </c>
      <c r="N17" s="851" t="s">
        <v>78</v>
      </c>
      <c r="O17" s="851" t="s">
        <v>196</v>
      </c>
      <c r="P17" s="17" t="s">
        <v>1291</v>
      </c>
    </row>
    <row r="18" spans="1:16">
      <c r="A18" s="748">
        <f>A13+1</f>
        <v>9</v>
      </c>
      <c r="B18" s="16" t="s">
        <v>1292</v>
      </c>
      <c r="C18" s="848">
        <v>3125000000</v>
      </c>
      <c r="D18" s="848">
        <v>3125000000</v>
      </c>
      <c r="E18" s="848">
        <v>3125000000</v>
      </c>
      <c r="F18" s="848">
        <v>3125000000</v>
      </c>
      <c r="G18" s="848">
        <v>3125000000</v>
      </c>
      <c r="H18" s="848">
        <v>3125000000</v>
      </c>
      <c r="I18" s="848">
        <v>3125000000</v>
      </c>
      <c r="J18" s="848">
        <v>3125000000</v>
      </c>
      <c r="K18" s="848">
        <v>3125000000</v>
      </c>
      <c r="L18" s="848">
        <v>3450000000</v>
      </c>
      <c r="M18" s="848">
        <v>3450000000</v>
      </c>
      <c r="N18" s="848">
        <v>3450000000</v>
      </c>
      <c r="O18" s="848">
        <v>3450000000</v>
      </c>
      <c r="P18" s="233">
        <f>AVERAGE(C18:O18)</f>
        <v>3225000000</v>
      </c>
    </row>
    <row r="19" spans="1:16">
      <c r="A19" s="748">
        <f t="shared" ref="A19:A22" si="1">A18+1</f>
        <v>10</v>
      </c>
      <c r="B19" s="16" t="s">
        <v>1581</v>
      </c>
      <c r="C19" s="848">
        <v>0</v>
      </c>
      <c r="D19" s="848">
        <v>0</v>
      </c>
      <c r="E19" s="848">
        <v>0</v>
      </c>
      <c r="F19" s="848">
        <v>0</v>
      </c>
      <c r="G19" s="848">
        <v>0</v>
      </c>
      <c r="H19" s="848">
        <v>0</v>
      </c>
      <c r="I19" s="848">
        <v>0</v>
      </c>
      <c r="J19" s="848">
        <v>0</v>
      </c>
      <c r="K19" s="848">
        <v>0</v>
      </c>
      <c r="L19" s="848">
        <v>0</v>
      </c>
      <c r="M19" s="848">
        <v>0</v>
      </c>
      <c r="N19" s="848">
        <v>0</v>
      </c>
      <c r="O19" s="848">
        <v>0</v>
      </c>
      <c r="P19" s="233">
        <f t="shared" ref="P19:P21" si="2">AVERAGE(C19:O19)</f>
        <v>0</v>
      </c>
    </row>
    <row r="20" spans="1:16">
      <c r="A20" s="748">
        <f t="shared" si="1"/>
        <v>11</v>
      </c>
      <c r="B20" s="16" t="s">
        <v>1293</v>
      </c>
      <c r="C20" s="848">
        <v>184418609</v>
      </c>
      <c r="D20" s="848">
        <v>184418608.99999994</v>
      </c>
      <c r="E20" s="848">
        <v>184418608.99999994</v>
      </c>
      <c r="F20" s="848">
        <v>184418609</v>
      </c>
      <c r="G20" s="848">
        <v>184418609</v>
      </c>
      <c r="H20" s="848">
        <v>184418609</v>
      </c>
      <c r="I20" s="848">
        <v>184418609</v>
      </c>
      <c r="J20" s="848">
        <v>184418609</v>
      </c>
      <c r="K20" s="848">
        <v>184418609</v>
      </c>
      <c r="L20" s="848">
        <v>184418609</v>
      </c>
      <c r="M20" s="848">
        <v>184418608.99999994</v>
      </c>
      <c r="N20" s="848">
        <v>184418608.99999994</v>
      </c>
      <c r="O20" s="848">
        <v>184418609</v>
      </c>
      <c r="P20" s="233">
        <f t="shared" si="2"/>
        <v>184418609</v>
      </c>
    </row>
    <row r="21" spans="1:16">
      <c r="A21" s="748">
        <f t="shared" si="1"/>
        <v>12</v>
      </c>
      <c r="B21" s="16" t="s">
        <v>1294</v>
      </c>
      <c r="C21" s="987">
        <v>0</v>
      </c>
      <c r="D21" s="987">
        <v>0</v>
      </c>
      <c r="E21" s="987">
        <v>0</v>
      </c>
      <c r="F21" s="987">
        <v>0</v>
      </c>
      <c r="G21" s="987">
        <v>0</v>
      </c>
      <c r="H21" s="987">
        <v>0</v>
      </c>
      <c r="I21" s="987">
        <v>0</v>
      </c>
      <c r="J21" s="987">
        <v>0</v>
      </c>
      <c r="K21" s="987">
        <v>0</v>
      </c>
      <c r="L21" s="987">
        <v>0</v>
      </c>
      <c r="M21" s="987">
        <v>0</v>
      </c>
      <c r="N21" s="987">
        <v>0</v>
      </c>
      <c r="O21" s="987">
        <v>0</v>
      </c>
      <c r="P21" s="275">
        <f t="shared" si="2"/>
        <v>0</v>
      </c>
    </row>
    <row r="22" spans="1:16">
      <c r="A22" s="748">
        <f t="shared" si="1"/>
        <v>13</v>
      </c>
      <c r="B22" s="850" t="s">
        <v>1295</v>
      </c>
      <c r="C22" s="873">
        <f>C18+C20+C21-C19</f>
        <v>3309418609</v>
      </c>
      <c r="D22" s="873">
        <f t="shared" ref="D22:O22" si="3">D18+D20+D21-D19</f>
        <v>3309418609</v>
      </c>
      <c r="E22" s="873">
        <f t="shared" si="3"/>
        <v>3309418609</v>
      </c>
      <c r="F22" s="873">
        <f t="shared" si="3"/>
        <v>3309418609</v>
      </c>
      <c r="G22" s="873">
        <f t="shared" si="3"/>
        <v>3309418609</v>
      </c>
      <c r="H22" s="873">
        <f t="shared" si="3"/>
        <v>3309418609</v>
      </c>
      <c r="I22" s="873">
        <f t="shared" si="3"/>
        <v>3309418609</v>
      </c>
      <c r="J22" s="873">
        <f t="shared" si="3"/>
        <v>3309418609</v>
      </c>
      <c r="K22" s="873">
        <f t="shared" si="3"/>
        <v>3309418609</v>
      </c>
      <c r="L22" s="873">
        <f t="shared" si="3"/>
        <v>3634418609</v>
      </c>
      <c r="M22" s="873">
        <f t="shared" si="3"/>
        <v>3634418609</v>
      </c>
      <c r="N22" s="873">
        <f t="shared" si="3"/>
        <v>3634418609</v>
      </c>
      <c r="O22" s="873">
        <f t="shared" si="3"/>
        <v>3634418609</v>
      </c>
      <c r="P22" s="873">
        <f>AVERAGE(C22:O22)</f>
        <v>3409418609</v>
      </c>
    </row>
    <row r="27" spans="1:16">
      <c r="B27" s="850" t="s">
        <v>1296</v>
      </c>
    </row>
    <row r="28" spans="1:16">
      <c r="A28" s="748">
        <f>A22+1</f>
        <v>14</v>
      </c>
      <c r="B28" s="16" t="s">
        <v>1297</v>
      </c>
      <c r="C28" s="848">
        <v>1423004250.6500001</v>
      </c>
      <c r="D28" s="848">
        <v>1423004250.6500001</v>
      </c>
      <c r="E28" s="848">
        <v>1423004250.6500001</v>
      </c>
      <c r="F28" s="848">
        <v>1423004250.6500001</v>
      </c>
      <c r="G28" s="848">
        <v>1423004250.6500001</v>
      </c>
      <c r="H28" s="848">
        <v>1423004250.6500001</v>
      </c>
      <c r="I28" s="848">
        <v>1423004250.6500001</v>
      </c>
      <c r="J28" s="848">
        <v>1423004250.6500001</v>
      </c>
      <c r="K28" s="848">
        <v>1423004250.6500001</v>
      </c>
      <c r="L28" s="848">
        <v>1423004250.6500001</v>
      </c>
      <c r="M28" s="848">
        <v>1423004250.6500001</v>
      </c>
      <c r="N28" s="848">
        <v>1423004250.6500001</v>
      </c>
      <c r="O28" s="848">
        <v>1423004250.6500001</v>
      </c>
      <c r="P28" s="267">
        <f t="shared" ref="P28:P42" si="4">AVERAGE(C28:O28)</f>
        <v>1423004250.6499999</v>
      </c>
    </row>
    <row r="29" spans="1:16">
      <c r="A29" s="748">
        <f t="shared" ref="A29:A42" si="5">A28+1</f>
        <v>15</v>
      </c>
      <c r="B29" s="874" t="s">
        <v>1298</v>
      </c>
      <c r="C29" s="848">
        <v>0</v>
      </c>
      <c r="D29" s="848">
        <v>0</v>
      </c>
      <c r="E29" s="848">
        <v>0</v>
      </c>
      <c r="F29" s="848">
        <v>0</v>
      </c>
      <c r="G29" s="848">
        <v>0</v>
      </c>
      <c r="H29" s="848">
        <v>0</v>
      </c>
      <c r="I29" s="848">
        <v>0</v>
      </c>
      <c r="J29" s="848">
        <v>0</v>
      </c>
      <c r="K29" s="848">
        <v>0</v>
      </c>
      <c r="L29" s="848">
        <v>0</v>
      </c>
      <c r="M29" s="848">
        <v>0</v>
      </c>
      <c r="N29" s="848">
        <v>0</v>
      </c>
      <c r="O29" s="848">
        <v>0</v>
      </c>
      <c r="P29" s="267">
        <f t="shared" si="4"/>
        <v>0</v>
      </c>
    </row>
    <row r="30" spans="1:16">
      <c r="A30" s="748">
        <f t="shared" si="5"/>
        <v>16</v>
      </c>
      <c r="B30" s="874" t="s">
        <v>1299</v>
      </c>
      <c r="C30" s="848">
        <v>0</v>
      </c>
      <c r="D30" s="848">
        <v>0</v>
      </c>
      <c r="E30" s="848">
        <v>0</v>
      </c>
      <c r="F30" s="848">
        <v>0</v>
      </c>
      <c r="G30" s="848">
        <v>0</v>
      </c>
      <c r="H30" s="848">
        <v>0</v>
      </c>
      <c r="I30" s="848">
        <v>0</v>
      </c>
      <c r="J30" s="848">
        <v>0</v>
      </c>
      <c r="K30" s="848">
        <v>0</v>
      </c>
      <c r="L30" s="848">
        <v>0</v>
      </c>
      <c r="M30" s="848">
        <v>0</v>
      </c>
      <c r="N30" s="848">
        <v>0</v>
      </c>
      <c r="O30" s="848">
        <v>0</v>
      </c>
      <c r="P30" s="267">
        <f t="shared" si="4"/>
        <v>0</v>
      </c>
    </row>
    <row r="31" spans="1:16">
      <c r="A31" s="748">
        <f t="shared" si="5"/>
        <v>17</v>
      </c>
      <c r="B31" s="874" t="s">
        <v>1300</v>
      </c>
      <c r="C31" s="848">
        <v>0</v>
      </c>
      <c r="D31" s="848">
        <v>0</v>
      </c>
      <c r="E31" s="848">
        <v>0</v>
      </c>
      <c r="F31" s="848">
        <v>0</v>
      </c>
      <c r="G31" s="848">
        <v>0</v>
      </c>
      <c r="H31" s="848">
        <v>0</v>
      </c>
      <c r="I31" s="848">
        <v>0</v>
      </c>
      <c r="J31" s="848">
        <v>0</v>
      </c>
      <c r="K31" s="848">
        <v>0</v>
      </c>
      <c r="L31" s="848">
        <v>0</v>
      </c>
      <c r="M31" s="848">
        <v>0</v>
      </c>
      <c r="N31" s="848">
        <v>0</v>
      </c>
      <c r="O31" s="848">
        <v>0</v>
      </c>
      <c r="P31" s="267">
        <f t="shared" si="4"/>
        <v>0</v>
      </c>
    </row>
    <row r="32" spans="1:16">
      <c r="A32" s="748">
        <f t="shared" si="5"/>
        <v>18</v>
      </c>
      <c r="B32" s="874" t="s">
        <v>1301</v>
      </c>
      <c r="C32" s="848">
        <v>0</v>
      </c>
      <c r="D32" s="848">
        <v>0</v>
      </c>
      <c r="E32" s="848">
        <v>0</v>
      </c>
      <c r="F32" s="848">
        <v>0</v>
      </c>
      <c r="G32" s="848">
        <v>0</v>
      </c>
      <c r="H32" s="848">
        <v>0</v>
      </c>
      <c r="I32" s="848">
        <v>0</v>
      </c>
      <c r="J32" s="848">
        <v>0</v>
      </c>
      <c r="K32" s="848">
        <v>0</v>
      </c>
      <c r="L32" s="848">
        <v>0</v>
      </c>
      <c r="M32" s="848">
        <v>0</v>
      </c>
      <c r="N32" s="848">
        <v>0</v>
      </c>
      <c r="O32" s="848">
        <v>0</v>
      </c>
      <c r="P32" s="267">
        <f t="shared" si="4"/>
        <v>0</v>
      </c>
    </row>
    <row r="33" spans="1:16">
      <c r="A33" s="748">
        <f t="shared" si="5"/>
        <v>19</v>
      </c>
      <c r="B33" s="16" t="s">
        <v>1302</v>
      </c>
      <c r="C33" s="848">
        <v>1155155243.8899999</v>
      </c>
      <c r="D33" s="848">
        <v>1155155243.8900003</v>
      </c>
      <c r="E33" s="848">
        <v>1155155243.8900003</v>
      </c>
      <c r="F33" s="848">
        <v>1300155243.8900003</v>
      </c>
      <c r="G33" s="848">
        <v>1300155243.8900003</v>
      </c>
      <c r="H33" s="848">
        <v>1300155243.8900003</v>
      </c>
      <c r="I33" s="848">
        <v>1300155243.8900003</v>
      </c>
      <c r="J33" s="848">
        <v>1300155243.8900003</v>
      </c>
      <c r="K33" s="848">
        <v>1300155243.8900003</v>
      </c>
      <c r="L33" s="848">
        <v>1329155243.8900003</v>
      </c>
      <c r="M33" s="848">
        <v>1343450423.1100001</v>
      </c>
      <c r="N33" s="848">
        <v>1343450423.1100001</v>
      </c>
      <c r="O33" s="848">
        <v>1343450423.1100001</v>
      </c>
      <c r="P33" s="267">
        <f t="shared" si="4"/>
        <v>1278915669.8638463</v>
      </c>
    </row>
    <row r="34" spans="1:16">
      <c r="A34" s="748">
        <f t="shared" si="5"/>
        <v>20</v>
      </c>
      <c r="B34" s="16" t="s">
        <v>1303</v>
      </c>
      <c r="C34" s="848">
        <v>0</v>
      </c>
      <c r="D34" s="848">
        <v>0</v>
      </c>
      <c r="E34" s="848">
        <v>0</v>
      </c>
      <c r="F34" s="848">
        <v>0</v>
      </c>
      <c r="G34" s="848">
        <v>0</v>
      </c>
      <c r="H34" s="848">
        <v>0</v>
      </c>
      <c r="I34" s="848">
        <v>0</v>
      </c>
      <c r="J34" s="848">
        <v>0</v>
      </c>
      <c r="K34" s="848">
        <v>0</v>
      </c>
      <c r="L34" s="848">
        <v>0</v>
      </c>
      <c r="M34" s="848">
        <v>0</v>
      </c>
      <c r="N34" s="848">
        <v>0</v>
      </c>
      <c r="O34" s="848">
        <v>0</v>
      </c>
      <c r="P34" s="267">
        <f t="shared" si="4"/>
        <v>0</v>
      </c>
    </row>
    <row r="35" spans="1:16">
      <c r="A35" s="748">
        <f t="shared" si="5"/>
        <v>21</v>
      </c>
      <c r="B35" s="16" t="s">
        <v>1304</v>
      </c>
      <c r="C35" s="848">
        <v>0</v>
      </c>
      <c r="D35" s="848">
        <v>0</v>
      </c>
      <c r="E35" s="848">
        <v>0</v>
      </c>
      <c r="F35" s="848">
        <v>0</v>
      </c>
      <c r="G35" s="848">
        <v>0</v>
      </c>
      <c r="H35" s="848">
        <v>0</v>
      </c>
      <c r="I35" s="848">
        <v>0</v>
      </c>
      <c r="J35" s="848">
        <v>0</v>
      </c>
      <c r="K35" s="848">
        <v>0</v>
      </c>
      <c r="L35" s="848">
        <v>0</v>
      </c>
      <c r="M35" s="848">
        <v>0</v>
      </c>
      <c r="N35" s="848">
        <v>0</v>
      </c>
      <c r="O35" s="848">
        <v>0</v>
      </c>
      <c r="P35" s="267">
        <f t="shared" si="4"/>
        <v>0</v>
      </c>
    </row>
    <row r="36" spans="1:16">
      <c r="A36" s="748">
        <f t="shared" si="5"/>
        <v>22</v>
      </c>
      <c r="B36" s="16" t="s">
        <v>1305</v>
      </c>
      <c r="C36" s="848">
        <v>86741.79</v>
      </c>
      <c r="D36" s="848">
        <v>86741.79</v>
      </c>
      <c r="E36" s="848">
        <v>86741.79</v>
      </c>
      <c r="F36" s="848">
        <v>86741.79</v>
      </c>
      <c r="G36" s="848">
        <v>86741.79</v>
      </c>
      <c r="H36" s="848">
        <v>86741.79</v>
      </c>
      <c r="I36" s="848">
        <v>86741.79</v>
      </c>
      <c r="J36" s="848">
        <v>86741.79</v>
      </c>
      <c r="K36" s="848">
        <v>86741.79</v>
      </c>
      <c r="L36" s="848">
        <v>86741.79</v>
      </c>
      <c r="M36" s="848">
        <v>86741.79</v>
      </c>
      <c r="N36" s="848">
        <v>86741.79</v>
      </c>
      <c r="O36" s="848">
        <v>86741.79</v>
      </c>
      <c r="P36" s="267">
        <f t="shared" si="4"/>
        <v>86741.790000000008</v>
      </c>
    </row>
    <row r="37" spans="1:16">
      <c r="A37" s="748">
        <f t="shared" si="5"/>
        <v>23</v>
      </c>
      <c r="B37" s="16" t="s">
        <v>1306</v>
      </c>
      <c r="C37" s="848">
        <v>4427930434.2300014</v>
      </c>
      <c r="D37" s="848">
        <v>4510538982.755084</v>
      </c>
      <c r="E37" s="848">
        <v>4564907416.8101902</v>
      </c>
      <c r="F37" s="848">
        <v>4521682756.6400013</v>
      </c>
      <c r="G37" s="848">
        <v>4552730556.2705927</v>
      </c>
      <c r="H37" s="848">
        <v>4589672684.1864738</v>
      </c>
      <c r="I37" s="848">
        <v>4543291354.460001</v>
      </c>
      <c r="J37" s="848">
        <v>4609634817.1780939</v>
      </c>
      <c r="K37" s="848">
        <v>4661288171.545907</v>
      </c>
      <c r="L37" s="848">
        <v>4605783947.6900015</v>
      </c>
      <c r="M37" s="848">
        <v>4627158813.3139486</v>
      </c>
      <c r="N37" s="848">
        <v>4680394558.5404072</v>
      </c>
      <c r="O37" s="848">
        <v>4643271373.4900026</v>
      </c>
      <c r="P37" s="267">
        <f t="shared" si="4"/>
        <v>4579868143.6239004</v>
      </c>
    </row>
    <row r="38" spans="1:16">
      <c r="A38" s="748">
        <f t="shared" si="5"/>
        <v>24</v>
      </c>
      <c r="B38" s="16" t="s">
        <v>1307</v>
      </c>
      <c r="C38" s="848">
        <v>-3187402047.9300008</v>
      </c>
      <c r="D38" s="848">
        <v>-3194319802.4650836</v>
      </c>
      <c r="E38" s="848">
        <v>-3198854723.8901896</v>
      </c>
      <c r="F38" s="848">
        <v>-3202735205.2300005</v>
      </c>
      <c r="G38" s="848">
        <v>-3205342858.4205928</v>
      </c>
      <c r="H38" s="848">
        <v>-3208420258.2464733</v>
      </c>
      <c r="I38" s="848">
        <v>-3212672862.4900002</v>
      </c>
      <c r="J38" s="848">
        <v>-3218225357.7580929</v>
      </c>
      <c r="K38" s="848">
        <v>-3222449990.1159062</v>
      </c>
      <c r="L38" s="848">
        <v>-3224708274.4300003</v>
      </c>
      <c r="M38" s="848">
        <v>-3226494955.6639466</v>
      </c>
      <c r="N38" s="848">
        <v>-3229417286.0404053</v>
      </c>
      <c r="O38" s="848">
        <v>-3233925200.2700005</v>
      </c>
      <c r="P38" s="267">
        <f>AVERAGE(C38:O38)</f>
        <v>-3212689909.457746</v>
      </c>
    </row>
    <row r="39" spans="1:16">
      <c r="A39" s="748">
        <f t="shared" si="5"/>
        <v>25</v>
      </c>
      <c r="B39" s="16" t="s">
        <v>1582</v>
      </c>
      <c r="C39" s="848">
        <v>0</v>
      </c>
      <c r="D39" s="848">
        <v>0</v>
      </c>
      <c r="E39" s="848">
        <v>0</v>
      </c>
      <c r="F39" s="848">
        <v>0</v>
      </c>
      <c r="G39" s="848">
        <v>0</v>
      </c>
      <c r="H39" s="848">
        <v>0</v>
      </c>
      <c r="I39" s="848">
        <v>0</v>
      </c>
      <c r="J39" s="848">
        <v>0</v>
      </c>
      <c r="K39" s="848">
        <v>0</v>
      </c>
      <c r="L39" s="848">
        <v>0</v>
      </c>
      <c r="M39" s="848">
        <v>0</v>
      </c>
      <c r="N39" s="848">
        <v>0</v>
      </c>
      <c r="O39" s="848">
        <v>0</v>
      </c>
      <c r="P39" s="267">
        <f t="shared" si="4"/>
        <v>0</v>
      </c>
    </row>
    <row r="40" spans="1:16">
      <c r="A40" s="748">
        <f t="shared" si="5"/>
        <v>26</v>
      </c>
      <c r="B40" s="16" t="s">
        <v>1308</v>
      </c>
      <c r="C40" s="848">
        <v>0</v>
      </c>
      <c r="D40" s="848">
        <v>0</v>
      </c>
      <c r="E40" s="848">
        <v>0</v>
      </c>
      <c r="F40" s="848">
        <v>0</v>
      </c>
      <c r="G40" s="848">
        <v>0</v>
      </c>
      <c r="H40" s="848">
        <v>0</v>
      </c>
      <c r="I40" s="848">
        <v>0</v>
      </c>
      <c r="J40" s="848">
        <v>0</v>
      </c>
      <c r="K40" s="848">
        <v>0</v>
      </c>
      <c r="L40" s="848">
        <v>0</v>
      </c>
      <c r="M40" s="848">
        <v>0</v>
      </c>
      <c r="N40" s="848">
        <v>0</v>
      </c>
      <c r="O40" s="848">
        <v>0</v>
      </c>
      <c r="P40" s="267">
        <f t="shared" si="4"/>
        <v>0</v>
      </c>
    </row>
    <row r="41" spans="1:16">
      <c r="A41" s="748">
        <f t="shared" si="5"/>
        <v>27</v>
      </c>
      <c r="B41" s="16" t="s">
        <v>1309</v>
      </c>
      <c r="C41" s="987">
        <v>1674805.64</v>
      </c>
      <c r="D41" s="987">
        <v>1630458.24</v>
      </c>
      <c r="E41" s="987">
        <v>1630179.74</v>
      </c>
      <c r="F41" s="987">
        <v>1742674.43</v>
      </c>
      <c r="G41" s="987">
        <v>1742952.93</v>
      </c>
      <c r="H41" s="987">
        <v>1742952.93</v>
      </c>
      <c r="I41" s="987">
        <v>1769513.02</v>
      </c>
      <c r="J41" s="987">
        <v>1725165.31</v>
      </c>
      <c r="K41" s="987">
        <v>1725165.31</v>
      </c>
      <c r="L41" s="987">
        <v>2094738.54</v>
      </c>
      <c r="M41" s="987">
        <v>2094738.54</v>
      </c>
      <c r="N41" s="987">
        <v>2094738.54</v>
      </c>
      <c r="O41" s="987">
        <v>2298081.84</v>
      </c>
      <c r="P41" s="275">
        <f t="shared" si="4"/>
        <v>1843551.1546153845</v>
      </c>
    </row>
    <row r="42" spans="1:16" ht="62.45" customHeight="1">
      <c r="A42" s="748">
        <f t="shared" si="5"/>
        <v>28</v>
      </c>
      <c r="B42" s="875" t="s">
        <v>1310</v>
      </c>
      <c r="C42" s="233">
        <f>C28+C29+C30+C31+C32+C33+C34-C35-C36+C37+C38-C39+C40+C41</f>
        <v>3820275944.6900005</v>
      </c>
      <c r="D42" s="242">
        <f t="shared" ref="D42:O42" si="6">D28+D29+D30+D31+D32+D33+D34-D35-D36+D37+D38-D39+D40+D41</f>
        <v>3895922391.2800012</v>
      </c>
      <c r="E42" s="242">
        <f t="shared" si="6"/>
        <v>3945755625.4100003</v>
      </c>
      <c r="F42" s="242">
        <f t="shared" si="6"/>
        <v>4043762978.5900006</v>
      </c>
      <c r="G42" s="242">
        <f t="shared" si="6"/>
        <v>4072203403.5300007</v>
      </c>
      <c r="H42" s="242">
        <f t="shared" si="6"/>
        <v>4106068131.6200004</v>
      </c>
      <c r="I42" s="242">
        <f t="shared" si="6"/>
        <v>4055460757.7400007</v>
      </c>
      <c r="J42" s="242">
        <f t="shared" si="6"/>
        <v>4116207377.4800019</v>
      </c>
      <c r="K42" s="242">
        <f t="shared" si="6"/>
        <v>4163636099.4900017</v>
      </c>
      <c r="L42" s="242">
        <f t="shared" si="6"/>
        <v>4135243164.5500021</v>
      </c>
      <c r="M42" s="242">
        <f t="shared" si="6"/>
        <v>4169126528.1600022</v>
      </c>
      <c r="N42" s="242">
        <f t="shared" si="6"/>
        <v>4219439943.0100021</v>
      </c>
      <c r="O42" s="242">
        <f t="shared" si="6"/>
        <v>4178012187.0300026</v>
      </c>
      <c r="P42" s="233">
        <f t="shared" si="4"/>
        <v>4070854964.0446167</v>
      </c>
    </row>
    <row r="43" spans="1:16">
      <c r="A43" s="748">
        <v>29</v>
      </c>
      <c r="B43" s="850" t="s">
        <v>1311</v>
      </c>
      <c r="C43" s="873">
        <f>+C29</f>
        <v>0</v>
      </c>
      <c r="D43" s="873">
        <f t="shared" ref="D43:P43" si="7">+D29</f>
        <v>0</v>
      </c>
      <c r="E43" s="873">
        <f t="shared" si="7"/>
        <v>0</v>
      </c>
      <c r="F43" s="873">
        <f t="shared" si="7"/>
        <v>0</v>
      </c>
      <c r="G43" s="873">
        <f t="shared" si="7"/>
        <v>0</v>
      </c>
      <c r="H43" s="873">
        <f t="shared" si="7"/>
        <v>0</v>
      </c>
      <c r="I43" s="873">
        <f t="shared" si="7"/>
        <v>0</v>
      </c>
      <c r="J43" s="873">
        <f t="shared" si="7"/>
        <v>0</v>
      </c>
      <c r="K43" s="873">
        <f t="shared" si="7"/>
        <v>0</v>
      </c>
      <c r="L43" s="873">
        <f t="shared" si="7"/>
        <v>0</v>
      </c>
      <c r="M43" s="873">
        <f t="shared" si="7"/>
        <v>0</v>
      </c>
      <c r="N43" s="873">
        <f t="shared" si="7"/>
        <v>0</v>
      </c>
      <c r="O43" s="873">
        <f t="shared" si="7"/>
        <v>0</v>
      </c>
      <c r="P43" s="873">
        <f t="shared" si="7"/>
        <v>0</v>
      </c>
    </row>
    <row r="44" spans="1:16">
      <c r="A44" s="748">
        <v>30</v>
      </c>
      <c r="B44" s="850" t="s">
        <v>1312</v>
      </c>
      <c r="C44" s="873">
        <f>+C42-C43</f>
        <v>3820275944.6900005</v>
      </c>
      <c r="D44" s="873">
        <f t="shared" ref="D44:P44" si="8">+D42-D43</f>
        <v>3895922391.2800012</v>
      </c>
      <c r="E44" s="873">
        <f t="shared" si="8"/>
        <v>3945755625.4100003</v>
      </c>
      <c r="F44" s="873">
        <f t="shared" si="8"/>
        <v>4043762978.5900006</v>
      </c>
      <c r="G44" s="873">
        <f t="shared" si="8"/>
        <v>4072203403.5300007</v>
      </c>
      <c r="H44" s="873">
        <f t="shared" si="8"/>
        <v>4106068131.6200004</v>
      </c>
      <c r="I44" s="873">
        <f t="shared" si="8"/>
        <v>4055460757.7400007</v>
      </c>
      <c r="J44" s="873">
        <f t="shared" si="8"/>
        <v>4116207377.4800019</v>
      </c>
      <c r="K44" s="873">
        <f t="shared" si="8"/>
        <v>4163636099.4900017</v>
      </c>
      <c r="L44" s="873">
        <f t="shared" si="8"/>
        <v>4135243164.5500021</v>
      </c>
      <c r="M44" s="873">
        <f t="shared" si="8"/>
        <v>4169126528.1600022</v>
      </c>
      <c r="N44" s="873">
        <f t="shared" si="8"/>
        <v>4219439943.0100021</v>
      </c>
      <c r="O44" s="873">
        <f t="shared" si="8"/>
        <v>4178012187.0300026</v>
      </c>
      <c r="P44" s="873">
        <f t="shared" si="8"/>
        <v>4070854964.0446167</v>
      </c>
    </row>
  </sheetData>
  <sheetProtection algorithmName="SHA-512" hashValue="fu6c4CYnnsk/VCeIeUm9Vgax9XX/cUXvGEV8Ios4g5Lgwn/7o3MDv0dEGrkLE57JZy4PXYUlLtX8N9+mHh4K2Q==" saltValue="2+bOaESbczOugqPLUbyt7g==" spinCount="100000" sheet="1" objects="1" scenarios="1"/>
  <mergeCells count="3">
    <mergeCell ref="C1:Q1"/>
    <mergeCell ref="C2:Q2"/>
    <mergeCell ref="C3:Q3"/>
  </mergeCells>
  <pageMargins left="0.7" right="0.7" top="0.75" bottom="0.75" header="0.3" footer="0.3"/>
  <pageSetup scale="2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9"/>
  <sheetViews>
    <sheetView view="pageBreakPreview" topLeftCell="D1" zoomScale="80" zoomScaleNormal="65" zoomScaleSheetLayoutView="80" workbookViewId="0">
      <selection activeCell="N77" sqref="N77"/>
    </sheetView>
  </sheetViews>
  <sheetFormatPr defaultColWidth="8.88671875" defaultRowHeight="12.75"/>
  <cols>
    <col min="1" max="1" width="6" style="148" customWidth="1"/>
    <col min="2" max="2" width="1.44140625" style="148" customWidth="1"/>
    <col min="3" max="3" width="42.77734375" style="148" customWidth="1"/>
    <col min="4" max="4" width="14.5546875" style="148" customWidth="1"/>
    <col min="5" max="5" width="17.5546875" style="148" customWidth="1"/>
    <col min="6" max="6" width="13.109375" style="148" customWidth="1"/>
    <col min="7" max="7" width="14.44140625" style="148" customWidth="1"/>
    <col min="8" max="8" width="16.33203125" style="148" customWidth="1"/>
    <col min="9" max="9" width="13.77734375" style="148" customWidth="1"/>
    <col min="10" max="10" width="14.44140625" style="148" customWidth="1"/>
    <col min="11" max="11" width="13.5546875" style="148" customWidth="1"/>
    <col min="12" max="13" width="15.77734375" style="148" customWidth="1"/>
    <col min="14" max="14" width="14.44140625" style="148" customWidth="1"/>
    <col min="15" max="15" width="13.21875" style="148" bestFit="1" customWidth="1"/>
    <col min="16" max="16" width="12.77734375" style="148" customWidth="1"/>
    <col min="17" max="17" width="13.88671875" style="148" customWidth="1"/>
    <col min="18" max="18" width="10.21875" style="148" customWidth="1"/>
    <col min="19" max="19" width="10.33203125" style="148" bestFit="1" customWidth="1"/>
    <col min="20" max="20" width="13" style="148" customWidth="1"/>
    <col min="21" max="21" width="11.33203125" style="53" bestFit="1" customWidth="1"/>
    <col min="22" max="16384" width="8.88671875" style="148"/>
  </cols>
  <sheetData>
    <row r="1" spans="1:22">
      <c r="Q1" s="149"/>
    </row>
    <row r="2" spans="1:22">
      <c r="Q2" s="149"/>
    </row>
    <row r="4" spans="1:22">
      <c r="Q4" s="149"/>
    </row>
    <row r="5" spans="1:22">
      <c r="D5" s="150"/>
      <c r="E5" s="150"/>
      <c r="F5" s="150"/>
      <c r="G5" s="151" t="s">
        <v>189</v>
      </c>
      <c r="H5" s="150"/>
      <c r="I5" s="150"/>
      <c r="J5" s="150"/>
      <c r="K5" s="152"/>
      <c r="L5" s="18"/>
      <c r="M5" s="153"/>
      <c r="N5" s="153"/>
      <c r="O5" s="153"/>
      <c r="P5" s="153"/>
      <c r="Q5" s="153"/>
      <c r="R5" s="152"/>
      <c r="S5" s="152"/>
      <c r="T5" s="152" t="s">
        <v>422</v>
      </c>
      <c r="U5" s="154"/>
      <c r="V5" s="152"/>
    </row>
    <row r="6" spans="1:22">
      <c r="D6" s="150"/>
      <c r="E6" s="155" t="s">
        <v>2</v>
      </c>
      <c r="F6" s="155"/>
      <c r="G6" s="151" t="s">
        <v>188</v>
      </c>
      <c r="H6" s="155"/>
      <c r="I6" s="155"/>
      <c r="J6" s="155"/>
      <c r="K6" s="152"/>
      <c r="P6" s="152"/>
      <c r="Q6" s="152"/>
      <c r="R6" s="152"/>
      <c r="S6" s="152"/>
      <c r="T6" s="156"/>
      <c r="U6" s="154"/>
      <c r="V6" s="152"/>
    </row>
    <row r="7" spans="1:22">
      <c r="C7" s="152"/>
      <c r="D7" s="152"/>
      <c r="E7" s="152"/>
      <c r="F7" s="152"/>
      <c r="G7" s="24" t="str">
        <f>+'Attachment H-7'!D5</f>
        <v>PECO Energy Company</v>
      </c>
      <c r="H7" s="152"/>
      <c r="I7" s="152"/>
      <c r="J7" s="152"/>
      <c r="K7" s="152"/>
      <c r="P7" s="152"/>
      <c r="Q7" s="152"/>
      <c r="R7" s="152"/>
      <c r="S7" s="152"/>
      <c r="T7" s="157"/>
      <c r="U7" s="154"/>
      <c r="V7" s="152"/>
    </row>
    <row r="8" spans="1:22">
      <c r="A8" s="151"/>
      <c r="C8" s="152"/>
      <c r="D8" s="152"/>
      <c r="E8" s="152"/>
      <c r="F8" s="152"/>
      <c r="H8" s="152"/>
      <c r="I8" s="152"/>
      <c r="J8" s="152"/>
      <c r="K8" s="152"/>
      <c r="L8" s="152"/>
      <c r="M8" s="152"/>
      <c r="N8" s="152"/>
      <c r="O8" s="152"/>
      <c r="P8" s="152"/>
      <c r="Q8" s="152"/>
      <c r="R8" s="152"/>
      <c r="S8" s="152"/>
      <c r="T8" s="157"/>
      <c r="U8" s="154"/>
      <c r="V8" s="152"/>
    </row>
    <row r="9" spans="1:22">
      <c r="A9" s="151"/>
      <c r="C9" s="152"/>
      <c r="D9" s="152"/>
      <c r="E9" s="152"/>
      <c r="F9" s="152"/>
      <c r="G9" s="158"/>
      <c r="H9" s="152"/>
      <c r="I9" s="152"/>
      <c r="J9" s="152"/>
      <c r="K9" s="152"/>
      <c r="L9" s="152"/>
      <c r="M9" s="152"/>
      <c r="N9" s="152"/>
      <c r="O9" s="152"/>
      <c r="P9" s="152"/>
      <c r="Q9" s="152"/>
      <c r="R9" s="152"/>
      <c r="S9" s="152"/>
      <c r="T9" s="157"/>
      <c r="U9" s="154"/>
      <c r="V9" s="152"/>
    </row>
    <row r="10" spans="1:22">
      <c r="A10" s="151"/>
      <c r="C10" s="152" t="s">
        <v>970</v>
      </c>
      <c r="D10" s="152"/>
      <c r="E10" s="152"/>
      <c r="F10" s="152"/>
      <c r="G10" s="158"/>
      <c r="H10" s="152"/>
      <c r="I10" s="152"/>
      <c r="J10" s="152"/>
      <c r="K10" s="152"/>
      <c r="L10" s="152"/>
      <c r="M10" s="152"/>
      <c r="N10" s="152"/>
      <c r="O10" s="152"/>
      <c r="P10" s="152"/>
      <c r="Q10" s="152"/>
      <c r="R10" s="152"/>
      <c r="S10" s="152"/>
      <c r="T10" s="157"/>
      <c r="U10" s="154"/>
      <c r="V10" s="152"/>
    </row>
    <row r="11" spans="1:22">
      <c r="A11" s="151"/>
      <c r="C11" s="152"/>
      <c r="D11" s="152"/>
      <c r="E11" s="152"/>
      <c r="F11" s="152"/>
      <c r="G11" s="158"/>
      <c r="L11" s="152"/>
      <c r="M11" s="152"/>
      <c r="N11" s="152"/>
      <c r="O11" s="152"/>
      <c r="P11" s="152"/>
      <c r="Q11" s="152"/>
      <c r="R11" s="152"/>
      <c r="S11" s="152"/>
      <c r="T11" s="152"/>
      <c r="U11" s="56"/>
      <c r="V11" s="152"/>
    </row>
    <row r="12" spans="1:22">
      <c r="A12" s="151"/>
      <c r="C12" s="152"/>
      <c r="D12" s="152"/>
      <c r="E12" s="152"/>
      <c r="F12" s="152"/>
      <c r="G12" s="152"/>
      <c r="L12" s="159"/>
      <c r="M12" s="159"/>
      <c r="N12" s="159"/>
      <c r="O12" s="159"/>
      <c r="P12" s="152"/>
      <c r="Q12" s="152"/>
      <c r="R12" s="152"/>
      <c r="S12" s="152"/>
      <c r="T12" s="152"/>
      <c r="U12" s="56"/>
      <c r="V12" s="152"/>
    </row>
    <row r="13" spans="1:22">
      <c r="C13" s="151" t="s">
        <v>3</v>
      </c>
      <c r="D13" s="151"/>
      <c r="E13" s="151" t="s">
        <v>4</v>
      </c>
      <c r="F13" s="151"/>
      <c r="I13" s="151" t="s">
        <v>5</v>
      </c>
      <c r="L13" s="160" t="s">
        <v>6</v>
      </c>
      <c r="M13" s="160"/>
      <c r="N13" s="160"/>
      <c r="O13" s="160"/>
      <c r="P13" s="155"/>
      <c r="Q13" s="160"/>
      <c r="R13" s="155"/>
      <c r="S13" s="155"/>
      <c r="T13" s="160"/>
      <c r="V13" s="150"/>
    </row>
    <row r="14" spans="1:22">
      <c r="C14" s="150"/>
      <c r="D14" s="150"/>
      <c r="E14" s="161" t="s">
        <v>969</v>
      </c>
      <c r="F14" s="161"/>
      <c r="I14" s="155"/>
      <c r="P14" s="155"/>
      <c r="R14" s="155"/>
      <c r="S14" s="155"/>
      <c r="T14" s="151"/>
      <c r="U14" s="162"/>
      <c r="V14" s="150"/>
    </row>
    <row r="15" spans="1:22">
      <c r="A15" s="151" t="s">
        <v>8</v>
      </c>
      <c r="C15" s="150"/>
      <c r="D15" s="150"/>
      <c r="E15" s="163" t="s">
        <v>18</v>
      </c>
      <c r="F15" s="163"/>
      <c r="I15" s="164" t="s">
        <v>17</v>
      </c>
      <c r="L15" s="164" t="s">
        <v>14</v>
      </c>
      <c r="M15" s="164"/>
      <c r="N15" s="164"/>
      <c r="O15" s="164"/>
      <c r="P15" s="155"/>
      <c r="R15" s="152"/>
      <c r="S15" s="152"/>
      <c r="T15" s="164"/>
      <c r="U15" s="162"/>
      <c r="V15" s="150"/>
    </row>
    <row r="16" spans="1:22">
      <c r="A16" s="151" t="s">
        <v>10</v>
      </c>
      <c r="C16" s="165"/>
      <c r="D16" s="165"/>
      <c r="E16" s="155"/>
      <c r="F16" s="155"/>
      <c r="I16" s="155"/>
      <c r="L16" s="155"/>
      <c r="M16" s="155"/>
      <c r="N16" s="155"/>
      <c r="O16" s="155"/>
      <c r="P16" s="155"/>
      <c r="Q16" s="155"/>
      <c r="R16" s="152"/>
      <c r="S16" s="152"/>
      <c r="T16" s="155"/>
      <c r="V16" s="150"/>
    </row>
    <row r="17" spans="1:22">
      <c r="A17" s="166"/>
      <c r="C17" s="150"/>
      <c r="D17" s="150"/>
      <c r="E17" s="155"/>
      <c r="F17" s="155"/>
      <c r="I17" s="155"/>
      <c r="L17" s="155"/>
      <c r="M17" s="155"/>
      <c r="N17" s="155"/>
      <c r="O17" s="155"/>
      <c r="P17" s="155"/>
      <c r="Q17" s="155"/>
      <c r="R17" s="152"/>
      <c r="S17" s="152"/>
      <c r="T17" s="155"/>
      <c r="V17" s="150"/>
    </row>
    <row r="18" spans="1:22">
      <c r="A18" s="167">
        <v>1</v>
      </c>
      <c r="C18" s="150" t="s">
        <v>126</v>
      </c>
      <c r="D18" s="150"/>
      <c r="E18" s="168" t="s">
        <v>1098</v>
      </c>
      <c r="F18" s="167"/>
      <c r="I18" s="53">
        <f>+'Attachment H-7'!I47</f>
        <v>1723143700.8466916</v>
      </c>
      <c r="P18" s="155"/>
      <c r="Q18" s="155"/>
      <c r="R18" s="152"/>
      <c r="S18" s="152"/>
      <c r="T18" s="155"/>
      <c r="V18" s="150"/>
    </row>
    <row r="19" spans="1:22">
      <c r="A19" s="167">
        <v>2</v>
      </c>
      <c r="C19" s="150" t="s">
        <v>127</v>
      </c>
      <c r="D19" s="150"/>
      <c r="E19" s="168" t="s">
        <v>1099</v>
      </c>
      <c r="F19" s="167"/>
      <c r="I19" s="53">
        <f>+'Attachment H-7'!I67+'Attachment H-7'!I85+'Attachment H-7'!I88</f>
        <v>1188030970.3525422</v>
      </c>
      <c r="P19" s="155"/>
      <c r="Q19" s="155"/>
      <c r="R19" s="152"/>
      <c r="S19" s="152"/>
      <c r="T19" s="155"/>
      <c r="V19" s="150"/>
    </row>
    <row r="20" spans="1:22">
      <c r="A20" s="167"/>
      <c r="E20" s="168"/>
      <c r="F20" s="167"/>
      <c r="P20" s="155"/>
      <c r="Q20" s="155"/>
      <c r="R20" s="152"/>
      <c r="S20" s="152"/>
      <c r="T20" s="155"/>
      <c r="V20" s="150"/>
    </row>
    <row r="21" spans="1:22">
      <c r="A21" s="167"/>
      <c r="C21" s="150" t="s">
        <v>128</v>
      </c>
      <c r="D21" s="150"/>
      <c r="E21" s="168"/>
      <c r="F21" s="167"/>
      <c r="I21" s="155"/>
      <c r="L21" s="155"/>
      <c r="M21" s="155"/>
      <c r="N21" s="155"/>
      <c r="O21" s="155"/>
      <c r="P21" s="155"/>
      <c r="Q21" s="155"/>
      <c r="R21" s="155"/>
      <c r="S21" s="155"/>
      <c r="T21" s="155"/>
      <c r="V21" s="150"/>
    </row>
    <row r="22" spans="1:22">
      <c r="A22" s="167">
        <v>3</v>
      </c>
      <c r="C22" s="150" t="s">
        <v>129</v>
      </c>
      <c r="D22" s="150"/>
      <c r="E22" s="168" t="s">
        <v>1100</v>
      </c>
      <c r="F22" s="167"/>
      <c r="I22" s="53">
        <f>+'Attachment H-7'!I125</f>
        <v>66163075.652507231</v>
      </c>
      <c r="P22" s="155"/>
      <c r="Q22" s="155"/>
      <c r="R22" s="155"/>
      <c r="S22" s="155"/>
      <c r="T22" s="155"/>
      <c r="V22" s="150"/>
    </row>
    <row r="23" spans="1:22">
      <c r="A23" s="167">
        <v>4</v>
      </c>
      <c r="C23" s="150" t="s">
        <v>130</v>
      </c>
      <c r="D23" s="150"/>
      <c r="E23" s="168" t="s">
        <v>131</v>
      </c>
      <c r="F23" s="167"/>
      <c r="I23" s="169">
        <f>IF(I18=0,0,I22/I18)</f>
        <v>3.8396725484936077E-2</v>
      </c>
      <c r="L23" s="170">
        <f>I23</f>
        <v>3.8396725484936077E-2</v>
      </c>
      <c r="M23" s="171"/>
      <c r="N23" s="171"/>
      <c r="O23" s="171"/>
      <c r="P23" s="155"/>
      <c r="Q23" s="172"/>
      <c r="R23" s="173"/>
      <c r="S23" s="173"/>
      <c r="T23" s="174"/>
      <c r="V23" s="150"/>
    </row>
    <row r="24" spans="1:22">
      <c r="A24" s="167"/>
      <c r="C24" s="150"/>
      <c r="D24" s="150"/>
      <c r="E24" s="168"/>
      <c r="F24" s="167"/>
      <c r="I24" s="175"/>
      <c r="L24" s="170"/>
      <c r="M24" s="171"/>
      <c r="N24" s="171"/>
      <c r="O24" s="171"/>
      <c r="P24" s="155"/>
      <c r="Q24" s="172"/>
      <c r="R24" s="173"/>
      <c r="S24" s="173"/>
      <c r="T24" s="174"/>
      <c r="V24" s="150"/>
    </row>
    <row r="25" spans="1:22">
      <c r="A25" s="160"/>
      <c r="C25" s="150" t="s">
        <v>370</v>
      </c>
      <c r="D25" s="150"/>
      <c r="E25" s="176"/>
      <c r="F25" s="177"/>
      <c r="I25" s="155"/>
      <c r="L25" s="169"/>
      <c r="M25" s="155"/>
      <c r="N25" s="155"/>
      <c r="O25" s="155"/>
      <c r="P25" s="155"/>
      <c r="Q25" s="172"/>
      <c r="R25" s="173"/>
      <c r="S25" s="173"/>
      <c r="T25" s="174"/>
      <c r="V25" s="150"/>
    </row>
    <row r="26" spans="1:22">
      <c r="A26" s="160" t="s">
        <v>132</v>
      </c>
      <c r="C26" s="150" t="s">
        <v>372</v>
      </c>
      <c r="D26" s="150"/>
      <c r="E26" s="168" t="s">
        <v>1104</v>
      </c>
      <c r="F26" s="167"/>
      <c r="I26" s="53">
        <f>+'Attachment H-7'!I129+'Attachment H-7'!I133+'Attachment H-7'!I130+'Attachment H-7'!I134+'Attachment H-7'!I131</f>
        <v>10340660.354085272</v>
      </c>
      <c r="L26" s="169"/>
      <c r="P26" s="155"/>
      <c r="Q26" s="172"/>
      <c r="R26" s="173"/>
      <c r="S26" s="173"/>
      <c r="T26" s="174"/>
      <c r="V26" s="150"/>
    </row>
    <row r="27" spans="1:22">
      <c r="A27" s="160" t="s">
        <v>133</v>
      </c>
      <c r="C27" s="150" t="s">
        <v>371</v>
      </c>
      <c r="D27" s="150"/>
      <c r="E27" s="168" t="s">
        <v>134</v>
      </c>
      <c r="F27" s="167"/>
      <c r="I27" s="59">
        <f>IF(I26=0,0,I26/I18)</f>
        <v>6.0010435281771558E-3</v>
      </c>
      <c r="J27" s="59"/>
      <c r="K27" s="59"/>
      <c r="L27" s="170">
        <f>I27</f>
        <v>6.0010435281771558E-3</v>
      </c>
      <c r="M27" s="171"/>
      <c r="N27" s="171"/>
      <c r="O27" s="171"/>
      <c r="P27" s="155"/>
      <c r="Q27" s="172"/>
      <c r="R27" s="173"/>
      <c r="S27" s="173"/>
      <c r="T27" s="174"/>
      <c r="V27" s="150"/>
    </row>
    <row r="28" spans="1:22">
      <c r="A28" s="167"/>
      <c r="C28" s="150"/>
      <c r="D28" s="150"/>
      <c r="E28" s="168"/>
      <c r="F28" s="167"/>
      <c r="I28" s="59"/>
      <c r="J28" s="59"/>
      <c r="K28" s="59"/>
      <c r="L28" s="170"/>
      <c r="M28" s="171"/>
      <c r="N28" s="171"/>
      <c r="O28" s="171"/>
      <c r="P28" s="155"/>
      <c r="Q28" s="172"/>
      <c r="R28" s="173"/>
      <c r="S28" s="173"/>
      <c r="T28" s="174"/>
      <c r="V28" s="150"/>
    </row>
    <row r="29" spans="1:22">
      <c r="A29" s="160"/>
      <c r="C29" s="150" t="s">
        <v>135</v>
      </c>
      <c r="D29" s="150"/>
      <c r="E29" s="176"/>
      <c r="F29" s="177"/>
      <c r="I29" s="59"/>
      <c r="J29" s="59"/>
      <c r="K29" s="59"/>
      <c r="L29" s="169"/>
      <c r="M29" s="155"/>
      <c r="N29" s="155"/>
      <c r="O29" s="155"/>
      <c r="P29" s="155"/>
      <c r="Q29" s="155"/>
      <c r="R29" s="155"/>
      <c r="S29" s="155"/>
      <c r="T29" s="155"/>
      <c r="V29" s="150"/>
    </row>
    <row r="30" spans="1:22">
      <c r="A30" s="160" t="s">
        <v>136</v>
      </c>
      <c r="C30" s="150" t="s">
        <v>137</v>
      </c>
      <c r="D30" s="150"/>
      <c r="E30" s="168" t="s">
        <v>1101</v>
      </c>
      <c r="F30" s="167"/>
      <c r="I30" s="53">
        <f>+'Attachment H-7'!I147</f>
        <v>3622141.8025371637</v>
      </c>
      <c r="J30" s="59"/>
      <c r="K30" s="59"/>
      <c r="L30" s="169"/>
      <c r="P30" s="155"/>
      <c r="Q30" s="164"/>
      <c r="R30" s="155"/>
      <c r="S30" s="155"/>
      <c r="T30" s="167"/>
      <c r="U30" s="162"/>
      <c r="V30" s="150"/>
    </row>
    <row r="31" spans="1:22">
      <c r="A31" s="160" t="s">
        <v>138</v>
      </c>
      <c r="C31" s="150" t="s">
        <v>139</v>
      </c>
      <c r="D31" s="150"/>
      <c r="E31" s="168" t="s">
        <v>140</v>
      </c>
      <c r="F31" s="167"/>
      <c r="I31" s="59">
        <f>IF(I30=0,0,I30/I18)</f>
        <v>2.1020544025187058E-3</v>
      </c>
      <c r="J31" s="59"/>
      <c r="K31" s="59"/>
      <c r="L31" s="170">
        <f>I31</f>
        <v>2.1020544025187058E-3</v>
      </c>
      <c r="M31" s="171"/>
      <c r="N31" s="171"/>
      <c r="O31" s="171"/>
      <c r="P31" s="155"/>
      <c r="Q31" s="172"/>
      <c r="R31" s="155"/>
      <c r="S31" s="155"/>
      <c r="T31" s="174"/>
      <c r="U31" s="162"/>
      <c r="V31" s="150"/>
    </row>
    <row r="32" spans="1:22">
      <c r="A32" s="160"/>
      <c r="C32" s="150"/>
      <c r="D32" s="150"/>
      <c r="E32" s="168"/>
      <c r="F32" s="167"/>
      <c r="I32" s="155"/>
      <c r="L32" s="169"/>
      <c r="M32" s="155"/>
      <c r="N32" s="155"/>
      <c r="O32" s="155"/>
      <c r="P32" s="155"/>
      <c r="V32" s="150"/>
    </row>
    <row r="33" spans="1:22">
      <c r="A33" s="160" t="s">
        <v>141</v>
      </c>
      <c r="C33" s="150" t="s">
        <v>181</v>
      </c>
      <c r="D33" s="150"/>
      <c r="E33" s="168" t="s">
        <v>1102</v>
      </c>
      <c r="F33" s="167"/>
      <c r="I33" s="53">
        <f>'Attachment H-7'!I14</f>
        <v>10105184.6159498</v>
      </c>
      <c r="L33" s="169"/>
      <c r="M33" s="155"/>
      <c r="N33" s="155"/>
      <c r="O33" s="155"/>
      <c r="P33" s="155"/>
      <c r="V33" s="150"/>
    </row>
    <row r="34" spans="1:22">
      <c r="A34" s="160" t="s">
        <v>144</v>
      </c>
      <c r="C34" s="150" t="s">
        <v>356</v>
      </c>
      <c r="D34" s="150"/>
      <c r="E34" s="168" t="s">
        <v>177</v>
      </c>
      <c r="F34" s="167"/>
      <c r="I34" s="178">
        <f>IF(L18=0,0,I33/I18)</f>
        <v>0</v>
      </c>
      <c r="L34" s="169">
        <f>+I34</f>
        <v>0</v>
      </c>
      <c r="M34" s="155"/>
      <c r="N34" s="155"/>
      <c r="O34" s="155"/>
      <c r="P34" s="155"/>
      <c r="V34" s="150"/>
    </row>
    <row r="35" spans="1:22">
      <c r="A35" s="160"/>
      <c r="C35" s="150"/>
      <c r="D35" s="150"/>
      <c r="E35" s="168"/>
      <c r="F35" s="167"/>
      <c r="I35" s="155"/>
      <c r="L35" s="169"/>
      <c r="M35" s="155"/>
      <c r="N35" s="155"/>
      <c r="O35" s="155"/>
      <c r="P35" s="155"/>
      <c r="V35" s="150"/>
    </row>
    <row r="36" spans="1:22">
      <c r="A36" s="179" t="s">
        <v>145</v>
      </c>
      <c r="B36" s="180"/>
      <c r="C36" s="165" t="s">
        <v>142</v>
      </c>
      <c r="D36" s="165"/>
      <c r="E36" s="181" t="s">
        <v>1140</v>
      </c>
      <c r="F36" s="161"/>
      <c r="I36" s="173"/>
      <c r="L36" s="182">
        <f>L23+L27+L31+L34</f>
        <v>4.6499823415631941E-2</v>
      </c>
      <c r="M36" s="183"/>
      <c r="N36" s="183"/>
      <c r="O36" s="183"/>
      <c r="P36" s="155"/>
      <c r="V36" s="150"/>
    </row>
    <row r="37" spans="1:22">
      <c r="A37" s="160"/>
      <c r="C37" s="150"/>
      <c r="D37" s="150"/>
      <c r="E37" s="168"/>
      <c r="F37" s="167"/>
      <c r="I37" s="155"/>
      <c r="L37" s="169"/>
      <c r="M37" s="155"/>
      <c r="N37" s="155"/>
      <c r="O37" s="155"/>
      <c r="P37" s="155"/>
      <c r="Q37" s="155"/>
      <c r="R37" s="155"/>
      <c r="S37" s="155"/>
      <c r="T37" s="184"/>
      <c r="V37" s="150"/>
    </row>
    <row r="38" spans="1:22">
      <c r="A38" s="160"/>
      <c r="B38" s="185"/>
      <c r="C38" s="155" t="s">
        <v>143</v>
      </c>
      <c r="D38" s="155"/>
      <c r="E38" s="168"/>
      <c r="F38" s="167"/>
      <c r="I38" s="155"/>
      <c r="L38" s="169"/>
      <c r="M38" s="155"/>
      <c r="N38" s="155"/>
      <c r="O38" s="155"/>
      <c r="P38" s="186"/>
      <c r="Q38" s="185"/>
      <c r="U38" s="162"/>
      <c r="V38" s="155" t="s">
        <v>2</v>
      </c>
    </row>
    <row r="39" spans="1:22">
      <c r="A39" s="160" t="s">
        <v>147</v>
      </c>
      <c r="B39" s="185"/>
      <c r="C39" s="155" t="s">
        <v>38</v>
      </c>
      <c r="D39" s="155"/>
      <c r="E39" s="168" t="s">
        <v>1103</v>
      </c>
      <c r="F39" s="167"/>
      <c r="I39" s="53">
        <f>+'Attachment H-7'!I164</f>
        <v>18574876.368695017</v>
      </c>
      <c r="L39" s="169"/>
      <c r="M39" s="155"/>
      <c r="N39" s="155"/>
      <c r="O39" s="155"/>
      <c r="P39" s="186"/>
      <c r="Q39" s="185"/>
      <c r="U39" s="162"/>
      <c r="V39" s="155"/>
    </row>
    <row r="40" spans="1:22">
      <c r="A40" s="160" t="s">
        <v>149</v>
      </c>
      <c r="B40" s="185"/>
      <c r="C40" s="155" t="s">
        <v>146</v>
      </c>
      <c r="D40" s="155"/>
      <c r="E40" s="168" t="s">
        <v>151</v>
      </c>
      <c r="F40" s="167"/>
      <c r="I40" s="59">
        <f>IF(I19=0,0,I39/I19)</f>
        <v>1.563501022467707E-2</v>
      </c>
      <c r="L40" s="170">
        <f>I40</f>
        <v>1.563501022467707E-2</v>
      </c>
      <c r="M40" s="171"/>
      <c r="N40" s="171"/>
      <c r="O40" s="171"/>
      <c r="P40" s="186"/>
      <c r="Q40" s="185"/>
      <c r="R40" s="155"/>
      <c r="S40" s="155"/>
      <c r="T40" s="155"/>
      <c r="U40" s="162"/>
      <c r="V40" s="155"/>
    </row>
    <row r="41" spans="1:22">
      <c r="A41" s="160"/>
      <c r="C41" s="155"/>
      <c r="D41" s="155"/>
      <c r="E41" s="168"/>
      <c r="F41" s="167"/>
      <c r="I41" s="155"/>
      <c r="L41" s="169"/>
      <c r="M41" s="155"/>
      <c r="N41" s="155"/>
      <c r="O41" s="155"/>
      <c r="P41" s="155"/>
      <c r="R41" s="152"/>
      <c r="S41" s="152"/>
      <c r="T41" s="155"/>
      <c r="U41" s="56"/>
      <c r="V41" s="150"/>
    </row>
    <row r="42" spans="1:22">
      <c r="A42" s="160"/>
      <c r="C42" s="150" t="s">
        <v>39</v>
      </c>
      <c r="D42" s="150"/>
      <c r="E42" s="187"/>
      <c r="F42" s="188"/>
      <c r="L42" s="169"/>
      <c r="P42" s="155"/>
      <c r="R42" s="155"/>
      <c r="S42" s="155"/>
      <c r="T42" s="155"/>
      <c r="V42" s="150"/>
    </row>
    <row r="43" spans="1:22">
      <c r="A43" s="160" t="s">
        <v>152</v>
      </c>
      <c r="C43" s="150" t="s">
        <v>148</v>
      </c>
      <c r="D43" s="150"/>
      <c r="E43" s="168" t="s">
        <v>1262</v>
      </c>
      <c r="F43" s="167"/>
      <c r="I43" s="53">
        <f>+'Attachment H-7'!I167+'Attachment H-7'!I169</f>
        <v>73328298.357032254</v>
      </c>
      <c r="L43" s="169"/>
      <c r="M43" s="155"/>
      <c r="N43" s="155"/>
      <c r="O43" s="155"/>
      <c r="P43" s="155"/>
      <c r="R43" s="155"/>
      <c r="S43" s="155"/>
      <c r="T43" s="155"/>
      <c r="V43" s="150"/>
    </row>
    <row r="44" spans="1:22">
      <c r="A44" s="160" t="s">
        <v>175</v>
      </c>
      <c r="B44" s="185"/>
      <c r="C44" s="155" t="s">
        <v>150</v>
      </c>
      <c r="D44" s="155"/>
      <c r="E44" s="168" t="s">
        <v>373</v>
      </c>
      <c r="F44" s="167"/>
      <c r="I44" s="59">
        <f>IF(I19=0,0,I43/I19)</f>
        <v>6.1722547801319062E-2</v>
      </c>
      <c r="L44" s="170">
        <f>I44</f>
        <v>6.1722547801319062E-2</v>
      </c>
      <c r="M44" s="171"/>
      <c r="N44" s="171"/>
      <c r="O44" s="171"/>
      <c r="P44" s="155"/>
      <c r="T44" s="189"/>
      <c r="U44" s="162"/>
      <c r="V44" s="155"/>
    </row>
    <row r="45" spans="1:22">
      <c r="A45" s="160"/>
      <c r="C45" s="150"/>
      <c r="D45" s="150"/>
      <c r="E45" s="168"/>
      <c r="F45" s="167"/>
      <c r="I45" s="155"/>
      <c r="L45" s="169"/>
      <c r="M45" s="155"/>
      <c r="N45" s="155"/>
      <c r="O45" s="155"/>
      <c r="P45" s="155"/>
      <c r="Q45" s="188"/>
      <c r="R45" s="155"/>
      <c r="S45" s="155"/>
      <c r="T45" s="155"/>
      <c r="V45" s="150"/>
    </row>
    <row r="46" spans="1:22">
      <c r="A46" s="179" t="s">
        <v>176</v>
      </c>
      <c r="B46" s="180"/>
      <c r="C46" s="165" t="s">
        <v>153</v>
      </c>
      <c r="D46" s="165"/>
      <c r="E46" s="181" t="s">
        <v>1141</v>
      </c>
      <c r="F46" s="161"/>
      <c r="I46" s="59">
        <f>+I44+I40</f>
        <v>7.7357558025996129E-2</v>
      </c>
      <c r="L46" s="182">
        <f>L40+L44</f>
        <v>7.7357558025996129E-2</v>
      </c>
      <c r="M46" s="183"/>
      <c r="N46" s="183"/>
      <c r="O46" s="183"/>
      <c r="P46" s="155"/>
      <c r="Q46" s="188"/>
      <c r="R46" s="155"/>
      <c r="S46" s="155"/>
      <c r="T46" s="155"/>
      <c r="V46" s="150"/>
    </row>
    <row r="47" spans="1:22">
      <c r="P47" s="190"/>
      <c r="Q47" s="190"/>
      <c r="R47" s="155"/>
      <c r="S47" s="155"/>
      <c r="T47" s="155"/>
      <c r="V47" s="150"/>
    </row>
    <row r="48" spans="1:22">
      <c r="P48" s="190"/>
      <c r="Q48" s="190"/>
      <c r="R48" s="155"/>
      <c r="S48" s="155"/>
      <c r="T48" s="155"/>
      <c r="V48" s="150"/>
    </row>
    <row r="49" spans="1:22">
      <c r="A49" s="191"/>
      <c r="C49" s="160"/>
      <c r="D49" s="160"/>
      <c r="E49" s="177"/>
      <c r="F49" s="177"/>
      <c r="G49" s="155"/>
      <c r="J49" s="175"/>
      <c r="P49" s="155"/>
      <c r="Q49" s="172"/>
      <c r="R49" s="192"/>
      <c r="S49" s="192"/>
      <c r="T49" s="155"/>
      <c r="U49" s="162"/>
      <c r="V49" s="155"/>
    </row>
    <row r="50" spans="1:22">
      <c r="A50" s="151"/>
      <c r="G50" s="155"/>
      <c r="P50" s="155"/>
      <c r="Q50" s="155"/>
      <c r="R50" s="155"/>
      <c r="S50" s="155"/>
      <c r="T50" s="155"/>
      <c r="U50" s="162"/>
      <c r="V50" s="155" t="s">
        <v>2</v>
      </c>
    </row>
    <row r="51" spans="1:22">
      <c r="Q51" s="149"/>
    </row>
    <row r="52" spans="1:22">
      <c r="Q52" s="149"/>
    </row>
    <row r="54" spans="1:22">
      <c r="A54" s="151"/>
      <c r="G54" s="155"/>
      <c r="P54" s="155"/>
      <c r="Q54" s="149"/>
      <c r="R54" s="155"/>
      <c r="S54" s="155"/>
      <c r="T54" s="152"/>
      <c r="V54" s="150"/>
    </row>
    <row r="55" spans="1:22">
      <c r="A55" s="151"/>
      <c r="C55" s="150"/>
      <c r="D55" s="150"/>
      <c r="G55" s="177" t="str">
        <f>+G5</f>
        <v>Attachment 1</v>
      </c>
      <c r="H55" s="177"/>
      <c r="P55" s="155"/>
      <c r="Q55" s="149"/>
      <c r="R55" s="155"/>
      <c r="S55" s="155"/>
      <c r="T55" s="148" t="s">
        <v>154</v>
      </c>
      <c r="V55" s="150"/>
    </row>
    <row r="56" spans="1:22">
      <c r="A56" s="151"/>
      <c r="C56" s="150"/>
      <c r="D56" s="150"/>
      <c r="G56" s="177" t="str">
        <f>+G6</f>
        <v>Project Revenue Requirement Worksheet</v>
      </c>
      <c r="H56" s="177"/>
      <c r="L56" s="155"/>
      <c r="M56" s="155"/>
      <c r="N56" s="155"/>
      <c r="O56" s="155"/>
      <c r="P56" s="155"/>
      <c r="R56" s="155"/>
      <c r="S56" s="155"/>
      <c r="T56" s="152"/>
      <c r="V56" s="150"/>
    </row>
    <row r="57" spans="1:22" ht="14.25" customHeight="1">
      <c r="A57" s="151"/>
      <c r="G57" s="177" t="str">
        <f>+G7</f>
        <v>PECO Energy Company</v>
      </c>
      <c r="P57" s="155"/>
      <c r="R57" s="155"/>
      <c r="S57" s="155"/>
      <c r="T57" s="152"/>
      <c r="V57" s="150"/>
    </row>
    <row r="58" spans="1:22">
      <c r="A58" s="151"/>
      <c r="H58" s="177"/>
      <c r="P58" s="155"/>
      <c r="Q58" s="155"/>
      <c r="R58" s="155"/>
      <c r="S58" s="155"/>
      <c r="T58" s="152"/>
      <c r="V58" s="150"/>
    </row>
    <row r="59" spans="1:22">
      <c r="A59" s="151"/>
      <c r="E59" s="150"/>
      <c r="F59" s="150"/>
      <c r="G59" s="150"/>
      <c r="H59" s="150"/>
      <c r="I59" s="150"/>
      <c r="J59" s="150"/>
      <c r="K59" s="150"/>
      <c r="L59" s="150"/>
      <c r="M59" s="150"/>
      <c r="N59" s="150"/>
      <c r="O59" s="150"/>
      <c r="P59" s="150"/>
      <c r="Q59" s="150"/>
      <c r="R59" s="155"/>
      <c r="S59" s="155"/>
      <c r="T59" s="152"/>
      <c r="V59" s="150"/>
    </row>
    <row r="60" spans="1:22">
      <c r="A60" s="151"/>
      <c r="E60" s="165"/>
      <c r="F60" s="165"/>
      <c r="H60" s="152"/>
      <c r="I60" s="152"/>
      <c r="J60" s="152"/>
      <c r="K60" s="152"/>
      <c r="L60" s="152"/>
      <c r="M60" s="152"/>
      <c r="N60" s="152"/>
      <c r="O60" s="152"/>
      <c r="P60" s="155"/>
      <c r="Q60" s="155"/>
      <c r="R60" s="155"/>
      <c r="S60" s="155"/>
      <c r="T60" s="152"/>
      <c r="V60" s="150"/>
    </row>
    <row r="61" spans="1:22">
      <c r="A61" s="151"/>
      <c r="E61" s="165"/>
      <c r="F61" s="165"/>
      <c r="H61" s="152"/>
      <c r="I61" s="152"/>
      <c r="J61" s="152"/>
      <c r="K61" s="152"/>
      <c r="L61" s="152"/>
      <c r="M61" s="152"/>
      <c r="N61" s="152"/>
      <c r="O61" s="152"/>
      <c r="P61" s="155"/>
      <c r="Q61" s="155"/>
      <c r="R61" s="155"/>
      <c r="S61" s="155"/>
      <c r="T61" s="152"/>
      <c r="V61" s="150"/>
    </row>
    <row r="62" spans="1:22">
      <c r="A62" s="151"/>
      <c r="C62" s="193">
        <v>-1</v>
      </c>
      <c r="D62" s="193">
        <v>-2</v>
      </c>
      <c r="E62" s="193">
        <v>-3</v>
      </c>
      <c r="F62" s="193">
        <v>-4</v>
      </c>
      <c r="G62" s="193">
        <v>-5</v>
      </c>
      <c r="H62" s="193">
        <v>-6</v>
      </c>
      <c r="I62" s="193">
        <v>-7</v>
      </c>
      <c r="J62" s="193">
        <v>-8</v>
      </c>
      <c r="K62" s="193">
        <v>-9</v>
      </c>
      <c r="L62" s="193">
        <v>-10</v>
      </c>
      <c r="M62" s="193">
        <v>-11</v>
      </c>
      <c r="N62" s="193">
        <v>-12</v>
      </c>
      <c r="O62" s="193" t="s">
        <v>321</v>
      </c>
      <c r="P62" s="193">
        <v>-13</v>
      </c>
      <c r="Q62" s="194" t="s">
        <v>274</v>
      </c>
      <c r="R62" s="194" t="s">
        <v>275</v>
      </c>
      <c r="S62" s="194" t="s">
        <v>1213</v>
      </c>
      <c r="T62" s="194" t="s">
        <v>293</v>
      </c>
      <c r="V62" s="150"/>
    </row>
    <row r="63" spans="1:22" ht="53.25" customHeight="1">
      <c r="A63" s="195" t="s">
        <v>155</v>
      </c>
      <c r="B63" s="196"/>
      <c r="C63" s="197" t="s">
        <v>426</v>
      </c>
      <c r="D63" s="198" t="s">
        <v>446</v>
      </c>
      <c r="E63" s="199" t="s">
        <v>156</v>
      </c>
      <c r="F63" s="199" t="s">
        <v>142</v>
      </c>
      <c r="G63" s="200" t="s">
        <v>157</v>
      </c>
      <c r="H63" s="199" t="s">
        <v>424</v>
      </c>
      <c r="I63" s="199" t="s">
        <v>153</v>
      </c>
      <c r="J63" s="200" t="s">
        <v>158</v>
      </c>
      <c r="K63" s="199" t="s">
        <v>178</v>
      </c>
      <c r="L63" s="201" t="s">
        <v>159</v>
      </c>
      <c r="M63" s="201" t="s">
        <v>180</v>
      </c>
      <c r="N63" s="201" t="s">
        <v>179</v>
      </c>
      <c r="O63" s="201" t="s">
        <v>319</v>
      </c>
      <c r="P63" s="201" t="s">
        <v>428</v>
      </c>
      <c r="Q63" s="201" t="s">
        <v>187</v>
      </c>
      <c r="R63" s="201" t="s">
        <v>160</v>
      </c>
      <c r="S63" s="201" t="s">
        <v>1214</v>
      </c>
      <c r="T63" s="201" t="s">
        <v>376</v>
      </c>
      <c r="V63" s="150"/>
    </row>
    <row r="64" spans="1:22" ht="46.5" customHeight="1">
      <c r="A64" s="202"/>
      <c r="B64" s="203"/>
      <c r="C64" s="203"/>
      <c r="D64" s="203"/>
      <c r="E64" s="204" t="s">
        <v>103</v>
      </c>
      <c r="F64" s="204" t="s">
        <v>284</v>
      </c>
      <c r="G64" s="205" t="s">
        <v>161</v>
      </c>
      <c r="H64" s="204" t="s">
        <v>317</v>
      </c>
      <c r="I64" s="204" t="s">
        <v>285</v>
      </c>
      <c r="J64" s="205" t="s">
        <v>162</v>
      </c>
      <c r="K64" s="204" t="s">
        <v>318</v>
      </c>
      <c r="L64" s="205" t="s">
        <v>163</v>
      </c>
      <c r="M64" s="204" t="s">
        <v>312</v>
      </c>
      <c r="N64" s="206" t="s">
        <v>668</v>
      </c>
      <c r="O64" s="207" t="s">
        <v>320</v>
      </c>
      <c r="P64" s="208" t="s">
        <v>295</v>
      </c>
      <c r="Q64" s="207" t="s">
        <v>294</v>
      </c>
      <c r="R64" s="209" t="s">
        <v>164</v>
      </c>
      <c r="S64" s="994">
        <v>-850000</v>
      </c>
      <c r="T64" s="207" t="s">
        <v>1215</v>
      </c>
      <c r="V64" s="150"/>
    </row>
    <row r="65" spans="1:22">
      <c r="A65" s="210"/>
      <c r="B65" s="152"/>
      <c r="C65" s="152"/>
      <c r="D65" s="152"/>
      <c r="E65" s="152"/>
      <c r="F65" s="152"/>
      <c r="G65" s="211"/>
      <c r="H65" s="152"/>
      <c r="I65" s="152"/>
      <c r="J65" s="211"/>
      <c r="K65" s="152"/>
      <c r="L65" s="211"/>
      <c r="M65" s="212"/>
      <c r="N65" s="211"/>
      <c r="O65" s="211"/>
      <c r="P65" s="152"/>
      <c r="Q65" s="213"/>
      <c r="R65" s="214"/>
      <c r="S65" s="155"/>
      <c r="T65" s="214"/>
      <c r="V65" s="150"/>
    </row>
    <row r="66" spans="1:22">
      <c r="A66" s="215" t="s">
        <v>631</v>
      </c>
      <c r="B66" s="216"/>
      <c r="C66" s="216" t="s">
        <v>445</v>
      </c>
      <c r="D66" s="217" t="s">
        <v>447</v>
      </c>
      <c r="E66" s="218">
        <f>+'Attachment H-7'!I47-SUM(E67:E93)</f>
        <v>1500556507.5886312</v>
      </c>
      <c r="F66" s="59">
        <f t="shared" ref="F66:F92" si="0">$L$36</f>
        <v>4.6499823415631941E-2</v>
      </c>
      <c r="G66" s="220">
        <f t="shared" ref="G66:G85" si="1">E66*F66</f>
        <v>69775612.628048718</v>
      </c>
      <c r="H66" s="218">
        <f>+'Attachment H-7'!I67-SUM(H67:H93)</f>
        <v>988042154.59421778</v>
      </c>
      <c r="I66" s="59">
        <f>$L$46</f>
        <v>7.7357558025996129E-2</v>
      </c>
      <c r="J66" s="220">
        <f>H66*I66</f>
        <v>76432528.306152433</v>
      </c>
      <c r="K66" s="53">
        <f>+'Attachment H-7'!I128-SUM(K67:K93)</f>
        <v>22056325.628602337</v>
      </c>
      <c r="L66" s="220">
        <f>G66+J66+K66</f>
        <v>168264466.56280348</v>
      </c>
      <c r="M66" s="221">
        <v>0</v>
      </c>
      <c r="N66" s="220">
        <f>+'2-Incentive ROE'!K$40*'1-Project Rev Req'!M66/100*H66</f>
        <v>0</v>
      </c>
      <c r="O66" s="220">
        <f>+L66+N66</f>
        <v>168264466.56280348</v>
      </c>
      <c r="P66" s="53">
        <v>0</v>
      </c>
      <c r="Q66" s="220">
        <f>+L66+N66-P66</f>
        <v>168264466.56280348</v>
      </c>
      <c r="R66" s="220">
        <f>+'3-Project True-up'!K18</f>
        <v>-22402307.010116331</v>
      </c>
      <c r="S66" s="53">
        <f>$S$64*Q66/$Q$95</f>
        <v>-719329.96579365956</v>
      </c>
      <c r="T66" s="222"/>
    </row>
    <row r="67" spans="1:22">
      <c r="A67" s="215" t="s">
        <v>633</v>
      </c>
      <c r="B67" s="216"/>
      <c r="C67" s="988" t="s">
        <v>1235</v>
      </c>
      <c r="D67" s="989" t="s">
        <v>720</v>
      </c>
      <c r="E67" s="990">
        <v>34380111.900417194</v>
      </c>
      <c r="F67" s="59">
        <f t="shared" si="0"/>
        <v>4.6499823415631941E-2</v>
      </c>
      <c r="G67" s="220">
        <f t="shared" si="1"/>
        <v>1598669.1323790657</v>
      </c>
      <c r="H67" s="990">
        <v>27689251.988085713</v>
      </c>
      <c r="I67" s="59">
        <f t="shared" ref="I67:I92" si="2">$L$46</f>
        <v>7.7357558025996129E-2</v>
      </c>
      <c r="J67" s="220">
        <f t="shared" ref="J67:J85" si="3">H67*I67</f>
        <v>2141972.9173647691</v>
      </c>
      <c r="K67" s="884">
        <v>622979.87679789343</v>
      </c>
      <c r="L67" s="220">
        <f>G67+J67+K67</f>
        <v>4363621.926541728</v>
      </c>
      <c r="M67" s="888">
        <v>0</v>
      </c>
      <c r="N67" s="220">
        <f>+'2-Incentive ROE'!K$40*'1-Project Rev Req'!M67/100*H67</f>
        <v>0</v>
      </c>
      <c r="O67" s="220">
        <f>+L67+N67</f>
        <v>4363621.926541728</v>
      </c>
      <c r="P67" s="886">
        <v>0</v>
      </c>
      <c r="Q67" s="220">
        <f t="shared" ref="Q67:Q84" si="4">+L67+N67-P67</f>
        <v>4363621.926541728</v>
      </c>
      <c r="R67" s="891">
        <v>-420337.71321652981</v>
      </c>
      <c r="S67" s="886">
        <v>-18654.46743019958</v>
      </c>
      <c r="T67" s="220">
        <f>+Q67+R67+S67</f>
        <v>3924629.7458949988</v>
      </c>
    </row>
    <row r="68" spans="1:22">
      <c r="A68" s="215" t="s">
        <v>635</v>
      </c>
      <c r="B68" s="216"/>
      <c r="C68" s="988" t="s">
        <v>1235</v>
      </c>
      <c r="D68" s="989" t="s">
        <v>720</v>
      </c>
      <c r="E68" s="990">
        <v>17190055.950208597</v>
      </c>
      <c r="F68" s="59">
        <f t="shared" si="0"/>
        <v>4.6499823415631941E-2</v>
      </c>
      <c r="G68" s="220">
        <f t="shared" si="1"/>
        <v>799334.56618953287</v>
      </c>
      <c r="H68" s="990">
        <v>13844625.994042857</v>
      </c>
      <c r="I68" s="59">
        <f t="shared" si="2"/>
        <v>7.7357558025996129E-2</v>
      </c>
      <c r="J68" s="220">
        <f>H68*I68</f>
        <v>1070986.4586823846</v>
      </c>
      <c r="K68" s="884">
        <v>311489.93839894672</v>
      </c>
      <c r="L68" s="220">
        <f>G68+J68+K68</f>
        <v>2181810.963270864</v>
      </c>
      <c r="M68" s="888">
        <v>0</v>
      </c>
      <c r="N68" s="220">
        <f>+'2-Incentive ROE'!K$40*'1-Project Rev Req'!M68/100*H68</f>
        <v>0</v>
      </c>
      <c r="O68" s="220">
        <f t="shared" ref="O68:O84" si="5">+L68+N68</f>
        <v>2181810.963270864</v>
      </c>
      <c r="P68" s="886">
        <v>0</v>
      </c>
      <c r="Q68" s="220">
        <f t="shared" si="4"/>
        <v>2181810.963270864</v>
      </c>
      <c r="R68" s="891">
        <v>-1655354.9870521317</v>
      </c>
      <c r="S68" s="886">
        <v>-9327.2337150997901</v>
      </c>
      <c r="T68" s="220">
        <f t="shared" ref="T68:T92" si="6">+Q68+R68+S68</f>
        <v>517128.7425036325</v>
      </c>
    </row>
    <row r="69" spans="1:22">
      <c r="A69" s="215" t="s">
        <v>637</v>
      </c>
      <c r="B69" s="216"/>
      <c r="C69" s="988" t="s">
        <v>803</v>
      </c>
      <c r="D69" s="989" t="s">
        <v>722</v>
      </c>
      <c r="E69" s="990">
        <v>4605740.7974999994</v>
      </c>
      <c r="F69" s="59">
        <f t="shared" si="0"/>
        <v>4.6499823415631941E-2</v>
      </c>
      <c r="G69" s="220">
        <f t="shared" si="1"/>
        <v>214166.13378192182</v>
      </c>
      <c r="H69" s="990">
        <v>4170549.4582401887</v>
      </c>
      <c r="I69" s="59">
        <f t="shared" si="2"/>
        <v>7.7357558025996129E-2</v>
      </c>
      <c r="J69" s="220">
        <f t="shared" si="3"/>
        <v>322623.52171610208</v>
      </c>
      <c r="K69" s="884">
        <v>106204.48996691231</v>
      </c>
      <c r="L69" s="220">
        <f t="shared" ref="L69:L85" si="7">G69+J69+K69</f>
        <v>642994.14546493615</v>
      </c>
      <c r="M69" s="888">
        <v>0</v>
      </c>
      <c r="N69" s="220">
        <f>+'2-Incentive ROE'!K$40*'1-Project Rev Req'!M69/100*H69</f>
        <v>0</v>
      </c>
      <c r="O69" s="220">
        <f t="shared" si="5"/>
        <v>642994.14546493615</v>
      </c>
      <c r="P69" s="886">
        <v>0</v>
      </c>
      <c r="Q69" s="220">
        <f t="shared" si="4"/>
        <v>642994.14546493615</v>
      </c>
      <c r="R69" s="891">
        <v>-934564.00067126902</v>
      </c>
      <c r="S69" s="886">
        <v>-2748.7975691539236</v>
      </c>
      <c r="T69" s="220">
        <f t="shared" si="6"/>
        <v>-294318.65277548681</v>
      </c>
    </row>
    <row r="70" spans="1:22">
      <c r="A70" s="215" t="s">
        <v>639</v>
      </c>
      <c r="B70" s="216"/>
      <c r="C70" s="988" t="s">
        <v>803</v>
      </c>
      <c r="D70" s="989" t="s">
        <v>1643</v>
      </c>
      <c r="E70" s="990">
        <v>1535246.9324999999</v>
      </c>
      <c r="F70" s="59">
        <f t="shared" si="0"/>
        <v>4.6499823415631941E-2</v>
      </c>
      <c r="G70" s="220">
        <f t="shared" si="1"/>
        <v>71388.711260640601</v>
      </c>
      <c r="H70" s="990">
        <v>1390183.1527467296</v>
      </c>
      <c r="I70" s="59">
        <f t="shared" si="2"/>
        <v>7.7357558025996129E-2</v>
      </c>
      <c r="J70" s="220">
        <f t="shared" si="3"/>
        <v>107541.17390536737</v>
      </c>
      <c r="K70" s="884">
        <v>35401.496655637435</v>
      </c>
      <c r="L70" s="220">
        <f t="shared" si="7"/>
        <v>214331.38182164539</v>
      </c>
      <c r="M70" s="888">
        <v>0</v>
      </c>
      <c r="N70" s="220">
        <f>+'2-Incentive ROE'!K$40*'1-Project Rev Req'!M70/100*H70</f>
        <v>0</v>
      </c>
      <c r="O70" s="220">
        <f t="shared" si="5"/>
        <v>214331.38182164539</v>
      </c>
      <c r="P70" s="886">
        <v>0</v>
      </c>
      <c r="Q70" s="220">
        <f t="shared" si="4"/>
        <v>214331.38182164539</v>
      </c>
      <c r="R70" s="891">
        <v>45820.307434062473</v>
      </c>
      <c r="S70" s="886">
        <v>-916.26585638464121</v>
      </c>
      <c r="T70" s="220">
        <f t="shared" si="6"/>
        <v>259235.42339932322</v>
      </c>
    </row>
    <row r="71" spans="1:22">
      <c r="A71" s="215" t="s">
        <v>641</v>
      </c>
      <c r="B71" s="216"/>
      <c r="C71" s="988" t="s">
        <v>804</v>
      </c>
      <c r="D71" s="989" t="s">
        <v>723</v>
      </c>
      <c r="E71" s="990">
        <v>3258302.26</v>
      </c>
      <c r="F71" s="59">
        <f t="shared" si="0"/>
        <v>4.6499823415631941E-2</v>
      </c>
      <c r="G71" s="220">
        <f t="shared" si="1"/>
        <v>151510.47972475446</v>
      </c>
      <c r="H71" s="990">
        <v>2618564.9862642763</v>
      </c>
      <c r="I71" s="59">
        <f t="shared" si="2"/>
        <v>7.7357558025996129E-2</v>
      </c>
      <c r="J71" s="220">
        <f t="shared" si="3"/>
        <v>202565.7928697805</v>
      </c>
      <c r="K71" s="884">
        <v>59395.18824418592</v>
      </c>
      <c r="L71" s="220">
        <f t="shared" si="7"/>
        <v>413471.4608387209</v>
      </c>
      <c r="M71" s="888">
        <v>0</v>
      </c>
      <c r="N71" s="220">
        <f>+'2-Incentive ROE'!K$40*'1-Project Rev Req'!M71/100*H71</f>
        <v>0</v>
      </c>
      <c r="O71" s="220">
        <f t="shared" si="5"/>
        <v>413471.4608387209</v>
      </c>
      <c r="P71" s="886">
        <v>0</v>
      </c>
      <c r="Q71" s="220">
        <f t="shared" si="4"/>
        <v>413471.4608387209</v>
      </c>
      <c r="R71" s="891">
        <v>-113854.48096353452</v>
      </c>
      <c r="S71" s="886">
        <v>-1767.5889500458543</v>
      </c>
      <c r="T71" s="220">
        <f t="shared" si="6"/>
        <v>297849.39092514053</v>
      </c>
    </row>
    <row r="72" spans="1:22">
      <c r="A72" s="215" t="s">
        <v>643</v>
      </c>
      <c r="B72" s="216"/>
      <c r="C72" s="988" t="s">
        <v>805</v>
      </c>
      <c r="D72" s="989" t="s">
        <v>724</v>
      </c>
      <c r="E72" s="990">
        <v>4456731.2700000005</v>
      </c>
      <c r="F72" s="59">
        <f t="shared" si="0"/>
        <v>4.6499823415631941E-2</v>
      </c>
      <c r="G72" s="220">
        <f t="shared" si="1"/>
        <v>207237.2170659251</v>
      </c>
      <c r="H72" s="990">
        <v>3498245.377055726</v>
      </c>
      <c r="I72" s="59">
        <f t="shared" si="2"/>
        <v>7.7357558025996129E-2</v>
      </c>
      <c r="J72" s="220">
        <f t="shared" si="3"/>
        <v>270615.71974476101</v>
      </c>
      <c r="K72" s="884">
        <v>79348.400282019225</v>
      </c>
      <c r="L72" s="220">
        <f t="shared" si="7"/>
        <v>557201.3370927053</v>
      </c>
      <c r="M72" s="888">
        <v>0</v>
      </c>
      <c r="N72" s="220">
        <f>+'2-Incentive ROE'!K$40*'1-Project Rev Req'!M72/100*H72</f>
        <v>0</v>
      </c>
      <c r="O72" s="220">
        <f t="shared" si="5"/>
        <v>557201.3370927053</v>
      </c>
      <c r="P72" s="886">
        <v>0</v>
      </c>
      <c r="Q72" s="220">
        <f t="shared" si="4"/>
        <v>557201.3370927053</v>
      </c>
      <c r="R72" s="891">
        <v>-157358.77693454898</v>
      </c>
      <c r="S72" s="886">
        <v>-2382.033633948954</v>
      </c>
      <c r="T72" s="220">
        <f t="shared" si="6"/>
        <v>397460.52652420738</v>
      </c>
    </row>
    <row r="73" spans="1:22">
      <c r="A73" s="215" t="s">
        <v>739</v>
      </c>
      <c r="B73" s="216"/>
      <c r="C73" s="988" t="s">
        <v>806</v>
      </c>
      <c r="D73" s="989" t="s">
        <v>802</v>
      </c>
      <c r="E73" s="990">
        <v>13634040.714348258</v>
      </c>
      <c r="F73" s="59">
        <f t="shared" si="0"/>
        <v>4.6499823415631941E-2</v>
      </c>
      <c r="G73" s="220">
        <f t="shared" si="1"/>
        <v>633980.48565873038</v>
      </c>
      <c r="H73" s="990">
        <v>12011480.096507685</v>
      </c>
      <c r="I73" s="59">
        <f t="shared" si="2"/>
        <v>7.7357558025996129E-2</v>
      </c>
      <c r="J73" s="220">
        <f t="shared" si="3"/>
        <v>929178.76854369079</v>
      </c>
      <c r="K73" s="884">
        <v>287401.33929086645</v>
      </c>
      <c r="L73" s="220">
        <f t="shared" si="7"/>
        <v>1850560.5934932877</v>
      </c>
      <c r="M73" s="888">
        <v>0</v>
      </c>
      <c r="N73" s="220">
        <f>+'2-Incentive ROE'!K$40*'1-Project Rev Req'!M73/100*H73</f>
        <v>0</v>
      </c>
      <c r="O73" s="220">
        <f t="shared" si="5"/>
        <v>1850560.5934932877</v>
      </c>
      <c r="P73" s="886">
        <v>0</v>
      </c>
      <c r="Q73" s="220">
        <f t="shared" si="4"/>
        <v>1850560.5934932877</v>
      </c>
      <c r="R73" s="891">
        <v>6130.5951413569419</v>
      </c>
      <c r="S73" s="886">
        <v>-7911.139622100628</v>
      </c>
      <c r="T73" s="220">
        <f t="shared" si="6"/>
        <v>1848780.0490125441</v>
      </c>
    </row>
    <row r="74" spans="1:22">
      <c r="A74" s="215" t="s">
        <v>740</v>
      </c>
      <c r="B74" s="216"/>
      <c r="C74" s="988" t="s">
        <v>917</v>
      </c>
      <c r="D74" s="989" t="s">
        <v>918</v>
      </c>
      <c r="E74" s="990">
        <v>23835043.219999991</v>
      </c>
      <c r="F74" s="59">
        <f t="shared" si="0"/>
        <v>4.6499823415631941E-2</v>
      </c>
      <c r="G74" s="220">
        <f t="shared" si="1"/>
        <v>1108325.3008339549</v>
      </c>
      <c r="H74" s="990">
        <v>30915746.295696639</v>
      </c>
      <c r="I74" s="59">
        <f t="shared" si="2"/>
        <v>7.7357558025996129E-2</v>
      </c>
      <c r="J74" s="220">
        <f t="shared" si="3"/>
        <v>2391566.6379863275</v>
      </c>
      <c r="K74" s="884">
        <v>747531.81152770657</v>
      </c>
      <c r="L74" s="220">
        <f t="shared" si="7"/>
        <v>4247423.7503479887</v>
      </c>
      <c r="M74" s="888">
        <v>0</v>
      </c>
      <c r="N74" s="220">
        <f>+'2-Incentive ROE'!K$40*'1-Project Rev Req'!M74/100*H74</f>
        <v>0</v>
      </c>
      <c r="O74" s="220">
        <f t="shared" si="5"/>
        <v>4247423.7503479887</v>
      </c>
      <c r="P74" s="886">
        <v>0</v>
      </c>
      <c r="Q74" s="220">
        <f t="shared" si="4"/>
        <v>4247423.7503479887</v>
      </c>
      <c r="R74" s="891">
        <v>1008440.9882874268</v>
      </c>
      <c r="S74" s="886">
        <v>-18157.720661174935</v>
      </c>
      <c r="T74" s="220">
        <f t="shared" si="6"/>
        <v>5237707.0179742407</v>
      </c>
    </row>
    <row r="75" spans="1:22">
      <c r="A75" s="215" t="s">
        <v>741</v>
      </c>
      <c r="B75" s="216"/>
      <c r="C75" s="988" t="s">
        <v>807</v>
      </c>
      <c r="D75" s="989" t="s">
        <v>725</v>
      </c>
      <c r="E75" s="990">
        <v>18036480.016589433</v>
      </c>
      <c r="F75" s="59">
        <f t="shared" si="0"/>
        <v>4.6499823415631941E-2</v>
      </c>
      <c r="G75" s="220">
        <f t="shared" si="1"/>
        <v>838693.1358109829</v>
      </c>
      <c r="H75" s="990">
        <v>15498973.81745282</v>
      </c>
      <c r="I75" s="59">
        <f t="shared" si="2"/>
        <v>7.7357558025996129E-2</v>
      </c>
      <c r="J75" s="220">
        <f t="shared" si="3"/>
        <v>1198962.7664270012</v>
      </c>
      <c r="K75" s="884">
        <v>411727.1306692285</v>
      </c>
      <c r="L75" s="220">
        <f t="shared" si="7"/>
        <v>2449383.0329072126</v>
      </c>
      <c r="M75" s="888">
        <v>0</v>
      </c>
      <c r="N75" s="220">
        <f>+'2-Incentive ROE'!K$40*'1-Project Rev Req'!M75/100*H75</f>
        <v>0</v>
      </c>
      <c r="O75" s="220">
        <f t="shared" si="5"/>
        <v>2449383.0329072126</v>
      </c>
      <c r="P75" s="886">
        <v>0</v>
      </c>
      <c r="Q75" s="220">
        <f t="shared" si="4"/>
        <v>2449383.0329072126</v>
      </c>
      <c r="R75" s="891">
        <v>-944906.16612438427</v>
      </c>
      <c r="S75" s="886">
        <v>-10471.103312945123</v>
      </c>
      <c r="T75" s="220">
        <f t="shared" si="6"/>
        <v>1494005.763469883</v>
      </c>
    </row>
    <row r="76" spans="1:22">
      <c r="A76" s="215" t="s">
        <v>742</v>
      </c>
      <c r="B76" s="216"/>
      <c r="C76" s="988" t="s">
        <v>808</v>
      </c>
      <c r="D76" s="989" t="s">
        <v>726</v>
      </c>
      <c r="E76" s="990">
        <v>16739502.841800349</v>
      </c>
      <c r="F76" s="59">
        <f t="shared" si="0"/>
        <v>4.6499823415631941E-2</v>
      </c>
      <c r="G76" s="220">
        <f t="shared" si="1"/>
        <v>778383.92620918527</v>
      </c>
      <c r="H76" s="990">
        <v>15183534.849476248</v>
      </c>
      <c r="I76" s="59">
        <f t="shared" si="2"/>
        <v>7.7357558025996129E-2</v>
      </c>
      <c r="J76" s="220">
        <f t="shared" si="3"/>
        <v>1174561.1781580932</v>
      </c>
      <c r="K76" s="884">
        <v>349291.04485156049</v>
      </c>
      <c r="L76" s="220">
        <f t="shared" si="7"/>
        <v>2302236.1492188391</v>
      </c>
      <c r="M76" s="888">
        <v>0</v>
      </c>
      <c r="N76" s="220">
        <f>+'2-Incentive ROE'!K$40*'1-Project Rev Req'!M76/100*H76</f>
        <v>0</v>
      </c>
      <c r="O76" s="220">
        <f t="shared" si="5"/>
        <v>2302236.1492188391</v>
      </c>
      <c r="P76" s="886">
        <v>0</v>
      </c>
      <c r="Q76" s="220">
        <f t="shared" si="4"/>
        <v>2302236.1492188391</v>
      </c>
      <c r="R76" s="891">
        <v>-747812.6207939384</v>
      </c>
      <c r="S76" s="886">
        <v>-9842.050935028512</v>
      </c>
      <c r="T76" s="220">
        <f t="shared" si="6"/>
        <v>1544581.4774898721</v>
      </c>
    </row>
    <row r="77" spans="1:22">
      <c r="A77" s="215" t="s">
        <v>743</v>
      </c>
      <c r="B77" s="216"/>
      <c r="C77" s="988" t="s">
        <v>809</v>
      </c>
      <c r="D77" s="989" t="s">
        <v>727</v>
      </c>
      <c r="E77" s="990">
        <v>17916132.43998605</v>
      </c>
      <c r="F77" s="59">
        <f t="shared" si="0"/>
        <v>4.6499823415631941E-2</v>
      </c>
      <c r="G77" s="220">
        <f t="shared" si="1"/>
        <v>833096.99475042638</v>
      </c>
      <c r="H77" s="990">
        <v>14858395.469180027</v>
      </c>
      <c r="I77" s="59">
        <f t="shared" si="2"/>
        <v>7.7357558025996129E-2</v>
      </c>
      <c r="J77" s="220">
        <f t="shared" si="3"/>
        <v>1149409.1896802918</v>
      </c>
      <c r="K77" s="884">
        <v>390520.50019944733</v>
      </c>
      <c r="L77" s="220">
        <f t="shared" si="7"/>
        <v>2373026.6846301653</v>
      </c>
      <c r="M77" s="888">
        <v>0</v>
      </c>
      <c r="N77" s="220">
        <f>+'2-Incentive ROE'!K$40*'1-Project Rev Req'!M77/100*H77</f>
        <v>0</v>
      </c>
      <c r="O77" s="220">
        <f t="shared" si="5"/>
        <v>2373026.6846301653</v>
      </c>
      <c r="P77" s="886">
        <v>0</v>
      </c>
      <c r="Q77" s="220">
        <f t="shared" si="4"/>
        <v>2373026.6846301653</v>
      </c>
      <c r="R77" s="891">
        <v>-691356.12657766696</v>
      </c>
      <c r="S77" s="886">
        <v>-10144.680209385366</v>
      </c>
      <c r="T77" s="220">
        <f t="shared" si="6"/>
        <v>1671525.8778431129</v>
      </c>
    </row>
    <row r="78" spans="1:22">
      <c r="A78" s="215" t="s">
        <v>744</v>
      </c>
      <c r="B78" s="216"/>
      <c r="C78" s="988" t="s">
        <v>810</v>
      </c>
      <c r="D78" s="989" t="s">
        <v>728</v>
      </c>
      <c r="E78" s="990">
        <v>11068177.316227697</v>
      </c>
      <c r="F78" s="59">
        <f t="shared" si="0"/>
        <v>4.6499823415631941E-2</v>
      </c>
      <c r="G78" s="220">
        <f t="shared" si="1"/>
        <v>514668.29073749093</v>
      </c>
      <c r="H78" s="990">
        <v>10125107.383004535</v>
      </c>
      <c r="I78" s="59">
        <f t="shared" si="2"/>
        <v>7.7357558025996129E-2</v>
      </c>
      <c r="J78" s="220">
        <f t="shared" si="3"/>
        <v>783253.58190021513</v>
      </c>
      <c r="K78" s="884">
        <v>230431.08655322139</v>
      </c>
      <c r="L78" s="220">
        <f t="shared" si="7"/>
        <v>1528352.9591909274</v>
      </c>
      <c r="M78" s="888">
        <v>0</v>
      </c>
      <c r="N78" s="220">
        <f>+'2-Incentive ROE'!K$40*'1-Project Rev Req'!M78/100*H78</f>
        <v>0</v>
      </c>
      <c r="O78" s="220">
        <f t="shared" si="5"/>
        <v>1528352.9591909274</v>
      </c>
      <c r="P78" s="886">
        <v>0</v>
      </c>
      <c r="Q78" s="220">
        <f t="shared" si="4"/>
        <v>1528352.9591909274</v>
      </c>
      <c r="R78" s="891">
        <v>-500925.31740109547</v>
      </c>
      <c r="S78" s="886">
        <v>-6533.7031894675683</v>
      </c>
      <c r="T78" s="220">
        <f t="shared" si="6"/>
        <v>1020893.9386003644</v>
      </c>
    </row>
    <row r="79" spans="1:22">
      <c r="A79" s="215" t="s">
        <v>1648</v>
      </c>
      <c r="B79" s="216"/>
      <c r="C79" s="988" t="s">
        <v>811</v>
      </c>
      <c r="D79" s="989" t="s">
        <v>729</v>
      </c>
      <c r="E79" s="990">
        <v>8327759.34848281</v>
      </c>
      <c r="F79" s="59">
        <f t="shared" si="0"/>
        <v>4.6499823415631941E-2</v>
      </c>
      <c r="G79" s="220">
        <f t="shared" si="1"/>
        <v>387239.33915232879</v>
      </c>
      <c r="H79" s="990">
        <v>6981624.088560285</v>
      </c>
      <c r="I79" s="59">
        <f t="shared" si="2"/>
        <v>7.7357558025996129E-2</v>
      </c>
      <c r="J79" s="220">
        <f t="shared" si="3"/>
        <v>540081.39054649463</v>
      </c>
      <c r="K79" s="884">
        <v>158370.2766918354</v>
      </c>
      <c r="L79" s="220">
        <f t="shared" si="7"/>
        <v>1085691.0063906589</v>
      </c>
      <c r="M79" s="888">
        <v>0</v>
      </c>
      <c r="N79" s="220">
        <f>+'2-Incentive ROE'!K$40*'1-Project Rev Req'!M79/100*H79</f>
        <v>0</v>
      </c>
      <c r="O79" s="220">
        <f t="shared" si="5"/>
        <v>1085691.0063906589</v>
      </c>
      <c r="P79" s="886">
        <v>0</v>
      </c>
      <c r="Q79" s="220">
        <f t="shared" si="4"/>
        <v>1085691.0063906589</v>
      </c>
      <c r="R79" s="891">
        <v>-316857.60105511575</v>
      </c>
      <c r="S79" s="886">
        <v>-4641.3249953636832</v>
      </c>
      <c r="T79" s="220">
        <f t="shared" si="6"/>
        <v>764192.0803401795</v>
      </c>
    </row>
    <row r="80" spans="1:22">
      <c r="A80" s="215" t="s">
        <v>745</v>
      </c>
      <c r="B80" s="216"/>
      <c r="C80" s="988" t="s">
        <v>812</v>
      </c>
      <c r="D80" s="989" t="s">
        <v>730</v>
      </c>
      <c r="E80" s="990">
        <v>1712754.31</v>
      </c>
      <c r="F80" s="59">
        <f t="shared" si="0"/>
        <v>4.6499823415631941E-2</v>
      </c>
      <c r="G80" s="220">
        <f t="shared" si="1"/>
        <v>79642.77296936253</v>
      </c>
      <c r="H80" s="990">
        <v>1513819.5360172195</v>
      </c>
      <c r="I80" s="59">
        <f t="shared" si="2"/>
        <v>7.7357558025996129E-2</v>
      </c>
      <c r="J80" s="220">
        <f t="shared" si="3"/>
        <v>117105.38259833859</v>
      </c>
      <c r="K80" s="884">
        <v>34336.97341143417</v>
      </c>
      <c r="L80" s="220">
        <f t="shared" si="7"/>
        <v>231085.1289791353</v>
      </c>
      <c r="M80" s="888">
        <v>0</v>
      </c>
      <c r="N80" s="220">
        <f>+'2-Incentive ROE'!K$40*'1-Project Rev Req'!M80/100*H80</f>
        <v>0</v>
      </c>
      <c r="O80" s="220">
        <f t="shared" si="5"/>
        <v>231085.1289791353</v>
      </c>
      <c r="P80" s="886">
        <v>0</v>
      </c>
      <c r="Q80" s="220">
        <f t="shared" si="4"/>
        <v>231085.1289791353</v>
      </c>
      <c r="R80" s="891">
        <v>-66665.850709379156</v>
      </c>
      <c r="S80" s="886">
        <v>-987.88806287833802</v>
      </c>
      <c r="T80" s="220">
        <f t="shared" si="6"/>
        <v>163431.39020687781</v>
      </c>
    </row>
    <row r="81" spans="1:20">
      <c r="A81" s="215" t="s">
        <v>746</v>
      </c>
      <c r="B81" s="216"/>
      <c r="C81" s="988" t="s">
        <v>813</v>
      </c>
      <c r="D81" s="989" t="s">
        <v>731</v>
      </c>
      <c r="E81" s="990">
        <v>2229231.8699999996</v>
      </c>
      <c r="F81" s="59">
        <f t="shared" si="0"/>
        <v>4.6499823415631941E-2</v>
      </c>
      <c r="G81" s="220">
        <f t="shared" si="1"/>
        <v>103658.88830749896</v>
      </c>
      <c r="H81" s="990">
        <v>1765695.2396023823</v>
      </c>
      <c r="I81" s="59">
        <f t="shared" si="2"/>
        <v>7.7357558025996129E-2</v>
      </c>
      <c r="J81" s="220">
        <f t="shared" si="3"/>
        <v>136589.87195376641</v>
      </c>
      <c r="K81" s="884">
        <v>47714.855339489673</v>
      </c>
      <c r="L81" s="220">
        <f t="shared" si="7"/>
        <v>287963.61560075509</v>
      </c>
      <c r="M81" s="888">
        <v>0</v>
      </c>
      <c r="N81" s="220">
        <f>+'2-Incentive ROE'!K$40*'1-Project Rev Req'!M81/100*H81</f>
        <v>0</v>
      </c>
      <c r="O81" s="220">
        <f t="shared" si="5"/>
        <v>287963.61560075509</v>
      </c>
      <c r="P81" s="886">
        <v>0</v>
      </c>
      <c r="Q81" s="220">
        <f t="shared" si="4"/>
        <v>287963.61560075509</v>
      </c>
      <c r="R81" s="891">
        <v>-83914.489765694248</v>
      </c>
      <c r="S81" s="886">
        <v>-1231.0433806450505</v>
      </c>
      <c r="T81" s="220">
        <f t="shared" si="6"/>
        <v>202818.08245441579</v>
      </c>
    </row>
    <row r="82" spans="1:20">
      <c r="A82" s="215" t="s">
        <v>747</v>
      </c>
      <c r="B82" s="216"/>
      <c r="C82" s="988" t="s">
        <v>1047</v>
      </c>
      <c r="D82" s="989" t="s">
        <v>732</v>
      </c>
      <c r="E82" s="990">
        <v>2546903.0100000002</v>
      </c>
      <c r="F82" s="59">
        <f t="shared" si="0"/>
        <v>4.6499823415631941E-2</v>
      </c>
      <c r="G82" s="220">
        <f t="shared" si="1"/>
        <v>118430.54022174148</v>
      </c>
      <c r="H82" s="990">
        <v>1952437.133432447</v>
      </c>
      <c r="I82" s="59">
        <f t="shared" si="2"/>
        <v>7.7357558025996129E-2</v>
      </c>
      <c r="J82" s="220">
        <f t="shared" si="3"/>
        <v>151035.76884161006</v>
      </c>
      <c r="K82" s="884">
        <v>52761.231548744458</v>
      </c>
      <c r="L82" s="220">
        <f t="shared" si="7"/>
        <v>322227.54061209597</v>
      </c>
      <c r="M82" s="888">
        <v>0</v>
      </c>
      <c r="N82" s="220">
        <f>+'2-Incentive ROE'!K$40*'1-Project Rev Req'!M82/100*H82</f>
        <v>0</v>
      </c>
      <c r="O82" s="220">
        <f t="shared" si="5"/>
        <v>322227.54061209597</v>
      </c>
      <c r="P82" s="886">
        <v>0</v>
      </c>
      <c r="Q82" s="220">
        <f t="shared" si="4"/>
        <v>322227.54061209597</v>
      </c>
      <c r="R82" s="891">
        <v>-90312.595033585851</v>
      </c>
      <c r="S82" s="886">
        <v>-1377.521532032795</v>
      </c>
      <c r="T82" s="220">
        <f t="shared" si="6"/>
        <v>230537.42404647733</v>
      </c>
    </row>
    <row r="83" spans="1:20">
      <c r="A83" s="215" t="s">
        <v>748</v>
      </c>
      <c r="B83" s="216"/>
      <c r="C83" s="988" t="s">
        <v>812</v>
      </c>
      <c r="D83" s="989" t="s">
        <v>733</v>
      </c>
      <c r="E83" s="990">
        <v>2359200.13</v>
      </c>
      <c r="F83" s="59">
        <f t="shared" si="0"/>
        <v>4.6499823415631941E-2</v>
      </c>
      <c r="G83" s="220">
        <f t="shared" si="1"/>
        <v>109702.38944713591</v>
      </c>
      <c r="H83" s="990">
        <v>2065240.5137154239</v>
      </c>
      <c r="I83" s="59">
        <f t="shared" si="2"/>
        <v>7.7357558025996129E-2</v>
      </c>
      <c r="J83" s="220">
        <f t="shared" si="3"/>
        <v>159761.96287737894</v>
      </c>
      <c r="K83" s="884">
        <v>46844.492966601887</v>
      </c>
      <c r="L83" s="220">
        <f t="shared" si="7"/>
        <v>316308.84529111674</v>
      </c>
      <c r="M83" s="888">
        <v>0</v>
      </c>
      <c r="N83" s="220">
        <f>+'2-Incentive ROE'!K$40*'1-Project Rev Req'!M83/100*H83</f>
        <v>0</v>
      </c>
      <c r="O83" s="220">
        <f t="shared" si="5"/>
        <v>316308.84529111674</v>
      </c>
      <c r="P83" s="886">
        <v>0</v>
      </c>
      <c r="Q83" s="220">
        <f t="shared" si="4"/>
        <v>316308.84529111674</v>
      </c>
      <c r="R83" s="891">
        <v>-91119.992804589128</v>
      </c>
      <c r="S83" s="886">
        <v>-1352.219131652296</v>
      </c>
      <c r="T83" s="220">
        <f t="shared" si="6"/>
        <v>223836.63335487532</v>
      </c>
    </row>
    <row r="84" spans="1:20">
      <c r="A84" s="215" t="s">
        <v>749</v>
      </c>
      <c r="B84" s="216"/>
      <c r="C84" s="988" t="s">
        <v>814</v>
      </c>
      <c r="D84" s="989" t="s">
        <v>734</v>
      </c>
      <c r="E84" s="990">
        <v>3631395.7</v>
      </c>
      <c r="F84" s="59">
        <f t="shared" si="0"/>
        <v>4.6499823415631941E-2</v>
      </c>
      <c r="G84" s="220">
        <f t="shared" si="1"/>
        <v>168859.25880228516</v>
      </c>
      <c r="H84" s="990">
        <v>2624264.0580661586</v>
      </c>
      <c r="I84" s="59">
        <f t="shared" si="2"/>
        <v>7.7357558025996129E-2</v>
      </c>
      <c r="J84" s="220">
        <f t="shared" si="3"/>
        <v>203006.65914738894</v>
      </c>
      <c r="K84" s="884">
        <v>59524.456543527544</v>
      </c>
      <c r="L84" s="220">
        <f t="shared" si="7"/>
        <v>431390.37449320161</v>
      </c>
      <c r="M84" s="888">
        <v>0</v>
      </c>
      <c r="N84" s="220">
        <f>+'2-Incentive ROE'!K$40*'1-Project Rev Req'!M84/100*H84</f>
        <v>0</v>
      </c>
      <c r="O84" s="220">
        <f t="shared" si="5"/>
        <v>431390.37449320161</v>
      </c>
      <c r="P84" s="886">
        <v>0</v>
      </c>
      <c r="Q84" s="220">
        <f t="shared" si="4"/>
        <v>431390.37449320161</v>
      </c>
      <c r="R84" s="891">
        <v>-116052.84610236269</v>
      </c>
      <c r="S84" s="886">
        <v>-1844.1922389602501</v>
      </c>
      <c r="T84" s="220">
        <f t="shared" si="6"/>
        <v>313493.3361518787</v>
      </c>
    </row>
    <row r="85" spans="1:20">
      <c r="A85" s="215" t="s">
        <v>1644</v>
      </c>
      <c r="B85" s="216"/>
      <c r="C85" s="988" t="s">
        <v>815</v>
      </c>
      <c r="D85" s="989" t="s">
        <v>735</v>
      </c>
      <c r="E85" s="990">
        <v>4811873.2300000004</v>
      </c>
      <c r="F85" s="59">
        <f t="shared" si="0"/>
        <v>4.6499823415631941E-2</v>
      </c>
      <c r="G85" s="220">
        <f t="shared" si="1"/>
        <v>223751.25549340653</v>
      </c>
      <c r="H85" s="990">
        <v>3573026.7728619692</v>
      </c>
      <c r="I85" s="59">
        <f t="shared" si="2"/>
        <v>7.7357558025996129E-2</v>
      </c>
      <c r="J85" s="220">
        <f t="shared" si="3"/>
        <v>276400.62591010745</v>
      </c>
      <c r="K85" s="884">
        <v>81044.617524811969</v>
      </c>
      <c r="L85" s="220">
        <f t="shared" si="7"/>
        <v>581196.49892832595</v>
      </c>
      <c r="M85" s="888">
        <v>0</v>
      </c>
      <c r="N85" s="220">
        <f>+'2-Incentive ROE'!K$40*'1-Project Rev Req'!M85/100*H85</f>
        <v>0</v>
      </c>
      <c r="O85" s="220">
        <f t="shared" ref="O85" si="8">+L85+N85</f>
        <v>581196.49892832595</v>
      </c>
      <c r="P85" s="886">
        <v>0</v>
      </c>
      <c r="Q85" s="220">
        <f t="shared" ref="Q85" si="9">+L85+N85-P85</f>
        <v>581196.49892832595</v>
      </c>
      <c r="R85" s="891">
        <v>-157304.39697151448</v>
      </c>
      <c r="S85" s="886">
        <v>-2484.6128611322997</v>
      </c>
      <c r="T85" s="220">
        <f t="shared" si="6"/>
        <v>421407.48909567919</v>
      </c>
    </row>
    <row r="86" spans="1:20">
      <c r="A86" s="215" t="s">
        <v>750</v>
      </c>
      <c r="B86" s="216"/>
      <c r="C86" s="988" t="s">
        <v>816</v>
      </c>
      <c r="D86" s="989" t="s">
        <v>737</v>
      </c>
      <c r="E86" s="990">
        <v>2699443.66</v>
      </c>
      <c r="F86" s="59">
        <f t="shared" si="0"/>
        <v>4.6499823415631941E-2</v>
      </c>
      <c r="G86" s="220">
        <f t="shared" ref="G86" si="10">E86*F86</f>
        <v>125523.6535104472</v>
      </c>
      <c r="H86" s="990">
        <v>2036609.1182374055</v>
      </c>
      <c r="I86" s="59">
        <f t="shared" si="2"/>
        <v>7.7357558025996129E-2</v>
      </c>
      <c r="J86" s="220">
        <f t="shared" ref="J86:J87" si="11">H86*I86</f>
        <v>157547.1080403229</v>
      </c>
      <c r="K86" s="884">
        <v>46195.065844101198</v>
      </c>
      <c r="L86" s="220">
        <f t="shared" ref="L86:L92" si="12">G86+J86+K86</f>
        <v>329265.82739487127</v>
      </c>
      <c r="M86" s="888">
        <v>0</v>
      </c>
      <c r="N86" s="220">
        <f>+'2-Incentive ROE'!K$40*'1-Project Rev Req'!M86/100*H86</f>
        <v>0</v>
      </c>
      <c r="O86" s="220">
        <f t="shared" ref="O86" si="13">+L86+N86</f>
        <v>329265.82739487127</v>
      </c>
      <c r="P86" s="886">
        <v>0</v>
      </c>
      <c r="Q86" s="220">
        <f t="shared" ref="Q86" si="14">+L86+N86-P86</f>
        <v>329265.82739487127</v>
      </c>
      <c r="R86" s="891">
        <v>-89432.035399341956</v>
      </c>
      <c r="S86" s="886">
        <v>-1407.6101817288377</v>
      </c>
      <c r="T86" s="220">
        <f t="shared" si="6"/>
        <v>238426.18181380047</v>
      </c>
    </row>
    <row r="87" spans="1:20">
      <c r="A87" s="215" t="s">
        <v>751</v>
      </c>
      <c r="B87" s="216"/>
      <c r="C87" s="988" t="s">
        <v>1048</v>
      </c>
      <c r="D87" s="989" t="s">
        <v>1659</v>
      </c>
      <c r="E87" s="990">
        <v>2221241.1800000002</v>
      </c>
      <c r="F87" s="59">
        <f t="shared" si="0"/>
        <v>4.6499823415631941E-2</v>
      </c>
      <c r="G87" s="220">
        <f t="shared" ref="G87" si="15">E87*F87</f>
        <v>103287.32263352993</v>
      </c>
      <c r="H87" s="990">
        <v>1637669.7152398764</v>
      </c>
      <c r="I87" s="59">
        <f t="shared" si="2"/>
        <v>7.7357558025996129E-2</v>
      </c>
      <c r="J87" s="220">
        <f t="shared" si="11"/>
        <v>126686.1300240853</v>
      </c>
      <c r="K87" s="884">
        <v>44255.187307482687</v>
      </c>
      <c r="L87" s="220">
        <f t="shared" si="12"/>
        <v>274228.63996509794</v>
      </c>
      <c r="M87" s="888">
        <v>0</v>
      </c>
      <c r="N87" s="220">
        <f>+'2-Incentive ROE'!K$40*'1-Project Rev Req'!M87/100*H87</f>
        <v>0</v>
      </c>
      <c r="O87" s="220">
        <f t="shared" ref="O87" si="16">+L87+N87</f>
        <v>274228.63996509794</v>
      </c>
      <c r="P87" s="886">
        <v>0</v>
      </c>
      <c r="Q87" s="220">
        <f t="shared" ref="Q87:Q90" si="17">+L87+N87-P87</f>
        <v>274228.63996509794</v>
      </c>
      <c r="R87" s="891">
        <v>-76357.188895248444</v>
      </c>
      <c r="S87" s="886">
        <v>-1172.3264111267931</v>
      </c>
      <c r="T87" s="220">
        <f t="shared" si="6"/>
        <v>196699.12465872269</v>
      </c>
    </row>
    <row r="88" spans="1:20">
      <c r="A88" s="215" t="s">
        <v>752</v>
      </c>
      <c r="B88" s="216"/>
      <c r="C88" s="988" t="s">
        <v>817</v>
      </c>
      <c r="D88" s="989" t="s">
        <v>738</v>
      </c>
      <c r="E88" s="990">
        <v>1723078.31</v>
      </c>
      <c r="F88" s="59">
        <f t="shared" si="0"/>
        <v>4.6499823415631941E-2</v>
      </c>
      <c r="G88" s="220">
        <f t="shared" ref="G88:G90" si="18">E88*F88</f>
        <v>80122.837146305508</v>
      </c>
      <c r="H88" s="990">
        <v>1830683.0612239228</v>
      </c>
      <c r="I88" s="59">
        <f t="shared" si="2"/>
        <v>7.7357558025996129E-2</v>
      </c>
      <c r="J88" s="220">
        <f t="shared" ref="J88:J90" si="19">H88*I88</f>
        <v>141617.17113583782</v>
      </c>
      <c r="K88" s="884">
        <v>51673.855840794662</v>
      </c>
      <c r="L88" s="220">
        <f t="shared" si="12"/>
        <v>273413.86412293802</v>
      </c>
      <c r="M88" s="888">
        <v>0</v>
      </c>
      <c r="N88" s="220">
        <f>+'2-Incentive ROE'!K$40*'1-Project Rev Req'!M88/100*H88</f>
        <v>0</v>
      </c>
      <c r="O88" s="220">
        <f t="shared" ref="O88:O90" si="20">+L88+N88</f>
        <v>273413.86412293802</v>
      </c>
      <c r="P88" s="886">
        <v>0</v>
      </c>
      <c r="Q88" s="220">
        <f t="shared" si="17"/>
        <v>273413.86412293802</v>
      </c>
      <c r="R88" s="891">
        <v>-94961.27704677319</v>
      </c>
      <c r="S88" s="886">
        <v>-1168.8432474461733</v>
      </c>
      <c r="T88" s="220">
        <f t="shared" si="6"/>
        <v>177283.74382871867</v>
      </c>
    </row>
    <row r="89" spans="1:20">
      <c r="A89" s="215" t="s">
        <v>753</v>
      </c>
      <c r="B89" s="216"/>
      <c r="C89" s="988" t="s">
        <v>1236</v>
      </c>
      <c r="D89" s="989" t="s">
        <v>721</v>
      </c>
      <c r="E89" s="990">
        <v>5325224.6099999985</v>
      </c>
      <c r="F89" s="59">
        <f t="shared" si="0"/>
        <v>4.6499823415631941E-2</v>
      </c>
      <c r="G89" s="220">
        <f t="shared" si="18"/>
        <v>247622.00401357739</v>
      </c>
      <c r="H89" s="990">
        <v>4498633.3669920797</v>
      </c>
      <c r="I89" s="59">
        <f t="shared" si="2"/>
        <v>7.7357558025996129E-2</v>
      </c>
      <c r="J89" s="220">
        <f t="shared" si="19"/>
        <v>348003.29172477213</v>
      </c>
      <c r="K89" s="884">
        <v>102039.54344293821</v>
      </c>
      <c r="L89" s="220">
        <f t="shared" si="12"/>
        <v>697664.8391812878</v>
      </c>
      <c r="M89" s="888">
        <v>0</v>
      </c>
      <c r="N89" s="220">
        <f>+'2-Incentive ROE'!K$40*'1-Project Rev Req'!M89/100*H89</f>
        <v>0</v>
      </c>
      <c r="O89" s="220">
        <f t="shared" si="20"/>
        <v>697664.8391812878</v>
      </c>
      <c r="P89" s="886">
        <v>0</v>
      </c>
      <c r="Q89" s="220">
        <f t="shared" si="17"/>
        <v>697664.8391812878</v>
      </c>
      <c r="R89" s="891">
        <v>150239.53834978482</v>
      </c>
      <c r="S89" s="886">
        <v>-2982.5145805005859</v>
      </c>
      <c r="T89" s="220">
        <f t="shared" si="6"/>
        <v>844921.86295057205</v>
      </c>
    </row>
    <row r="90" spans="1:20">
      <c r="A90" s="215" t="s">
        <v>754</v>
      </c>
      <c r="C90" s="988" t="s">
        <v>1237</v>
      </c>
      <c r="D90" s="991" t="s">
        <v>736</v>
      </c>
      <c r="E90" s="990">
        <v>4315230.49</v>
      </c>
      <c r="F90" s="59">
        <f t="shared" si="0"/>
        <v>4.6499823415631941E-2</v>
      </c>
      <c r="G90" s="220">
        <f t="shared" si="18"/>
        <v>200657.45578275091</v>
      </c>
      <c r="H90" s="990">
        <v>3204247.7710578153</v>
      </c>
      <c r="I90" s="59">
        <f t="shared" si="2"/>
        <v>7.7357558025996129E-2</v>
      </c>
      <c r="J90" s="220">
        <f t="shared" si="19"/>
        <v>247872.7828792737</v>
      </c>
      <c r="K90" s="884">
        <v>72679.845847363846</v>
      </c>
      <c r="L90" s="220">
        <f t="shared" si="12"/>
        <v>521210.08450938843</v>
      </c>
      <c r="M90" s="888">
        <v>0</v>
      </c>
      <c r="N90" s="220">
        <f>+'2-Incentive ROE'!K$40*'1-Project Rev Req'!M90/100*H90</f>
        <v>0</v>
      </c>
      <c r="O90" s="220">
        <f t="shared" si="20"/>
        <v>521210.08450938843</v>
      </c>
      <c r="P90" s="886">
        <v>0</v>
      </c>
      <c r="Q90" s="220">
        <f t="shared" si="17"/>
        <v>521210.08450938843</v>
      </c>
      <c r="R90" s="891">
        <v>114765.43233446509</v>
      </c>
      <c r="S90" s="886">
        <v>-2228.1711636456048</v>
      </c>
      <c r="T90" s="220">
        <f t="shared" si="6"/>
        <v>633747.34568020795</v>
      </c>
    </row>
    <row r="91" spans="1:20">
      <c r="A91" s="215" t="s">
        <v>755</v>
      </c>
      <c r="C91" s="992" t="s">
        <v>1640</v>
      </c>
      <c r="D91" s="993" t="s">
        <v>1641</v>
      </c>
      <c r="E91" s="990">
        <v>13038203.109999998</v>
      </c>
      <c r="F91" s="59">
        <f t="shared" si="0"/>
        <v>4.6499823415631941E-2</v>
      </c>
      <c r="G91" s="220">
        <f t="shared" ref="G91" si="21">E91*F91</f>
        <v>606274.14227214304</v>
      </c>
      <c r="H91" s="990">
        <v>13472622.551221238</v>
      </c>
      <c r="I91" s="59">
        <f t="shared" si="2"/>
        <v>7.7357558025996129E-2</v>
      </c>
      <c r="J91" s="220">
        <f t="shared" ref="J91" si="22">H91*I91</f>
        <v>1042209.1807684409</v>
      </c>
      <c r="K91" s="884">
        <v>292734.272504072</v>
      </c>
      <c r="L91" s="220">
        <f t="shared" si="12"/>
        <v>1941217.595544656</v>
      </c>
      <c r="M91" s="888">
        <v>0</v>
      </c>
      <c r="N91" s="220">
        <f>+'2-Incentive ROE'!K$40*'1-Project Rev Req'!M91/100*H91</f>
        <v>0</v>
      </c>
      <c r="O91" s="220">
        <f t="shared" ref="O91" si="23">+L91+N91</f>
        <v>1941217.595544656</v>
      </c>
      <c r="P91" s="886">
        <v>0</v>
      </c>
      <c r="Q91" s="220">
        <f t="shared" ref="Q91" si="24">+L91+N91-P91</f>
        <v>1941217.595544656</v>
      </c>
      <c r="R91" s="891">
        <v>1268861.0151431272</v>
      </c>
      <c r="S91" s="886">
        <v>-8298.6979671076315</v>
      </c>
      <c r="T91" s="220">
        <f t="shared" si="6"/>
        <v>3201779.9127206756</v>
      </c>
    </row>
    <row r="92" spans="1:20">
      <c r="A92" s="1005" t="s">
        <v>1655</v>
      </c>
      <c r="B92" s="1006"/>
      <c r="C92" s="1007" t="s">
        <v>1656</v>
      </c>
      <c r="D92" s="1007" t="s">
        <v>1657</v>
      </c>
      <c r="E92" s="990">
        <v>990088.64000000013</v>
      </c>
      <c r="F92" s="59">
        <f t="shared" si="0"/>
        <v>4.6499823415631941E-2</v>
      </c>
      <c r="G92" s="220">
        <f t="shared" ref="G92" si="25">E92*F92</f>
        <v>46038.946925823191</v>
      </c>
      <c r="H92" s="990">
        <v>1027583.9643427572</v>
      </c>
      <c r="I92" s="59">
        <f t="shared" si="2"/>
        <v>7.7357558025996129E-2</v>
      </c>
      <c r="J92" s="220">
        <f t="shared" ref="J92" si="26">H92*I92</f>
        <v>79491.386148227975</v>
      </c>
      <c r="K92" s="884">
        <v>23308.011570840252</v>
      </c>
      <c r="L92" s="220">
        <f t="shared" si="12"/>
        <v>148838.34464489142</v>
      </c>
      <c r="M92" s="888">
        <v>0</v>
      </c>
      <c r="N92" s="220">
        <f>+'2-Incentive ROE'!K$40*'1-Project Rev Req'!M92/100*H92</f>
        <v>0</v>
      </c>
      <c r="O92" s="220">
        <f t="shared" ref="O92" si="27">+L92+N92</f>
        <v>148838.34464489142</v>
      </c>
      <c r="P92" s="886">
        <v>0</v>
      </c>
      <c r="Q92" s="220">
        <f t="shared" ref="Q92" si="28">+L92+N92-P92</f>
        <v>148838.34464489142</v>
      </c>
      <c r="R92" s="891">
        <v>59006.780984307501</v>
      </c>
      <c r="S92" s="886">
        <v>-636.28336718515573</v>
      </c>
      <c r="T92" s="220">
        <f t="shared" si="6"/>
        <v>207208.84226201376</v>
      </c>
    </row>
    <row r="93" spans="1:20">
      <c r="A93" s="223"/>
      <c r="C93" s="883"/>
      <c r="D93" s="883"/>
      <c r="E93" s="884"/>
      <c r="F93" s="59"/>
      <c r="G93" s="219"/>
      <c r="H93" s="884"/>
      <c r="I93" s="59"/>
      <c r="J93" s="220"/>
      <c r="K93" s="886"/>
      <c r="L93" s="220"/>
      <c r="M93" s="888"/>
      <c r="N93" s="220"/>
      <c r="O93" s="220"/>
      <c r="P93" s="886"/>
      <c r="Q93" s="220"/>
      <c r="R93" s="891"/>
      <c r="S93" s="886"/>
      <c r="T93" s="220"/>
    </row>
    <row r="94" spans="1:20">
      <c r="A94" s="224"/>
      <c r="B94" s="225"/>
      <c r="C94" s="885"/>
      <c r="D94" s="885"/>
      <c r="E94" s="885"/>
      <c r="F94" s="225"/>
      <c r="G94" s="226"/>
      <c r="H94" s="885"/>
      <c r="I94" s="225"/>
      <c r="J94" s="227"/>
      <c r="K94" s="887"/>
      <c r="L94" s="227"/>
      <c r="M94" s="889"/>
      <c r="N94" s="228"/>
      <c r="O94" s="228"/>
      <c r="P94" s="890"/>
      <c r="Q94" s="228"/>
      <c r="R94" s="995"/>
      <c r="S94" s="887"/>
      <c r="T94" s="227"/>
    </row>
    <row r="95" spans="1:20">
      <c r="A95" s="179" t="s">
        <v>243</v>
      </c>
      <c r="B95" s="185"/>
      <c r="C95" s="150" t="s">
        <v>166</v>
      </c>
      <c r="D95" s="150"/>
      <c r="E95" s="53">
        <f>SUM(E66:E94)</f>
        <v>1723143700.8466914</v>
      </c>
      <c r="F95" s="177"/>
      <c r="G95" s="155"/>
      <c r="H95" s="53">
        <f t="shared" ref="H95:S95" si="29">SUM(H66:H94)</f>
        <v>1188030970.3525422</v>
      </c>
      <c r="I95" s="155"/>
      <c r="J95" s="53">
        <f t="shared" si="29"/>
        <v>91903174.725727275</v>
      </c>
      <c r="K95" s="53">
        <f t="shared" si="29"/>
        <v>26801530.618424002</v>
      </c>
      <c r="L95" s="53">
        <f t="shared" si="29"/>
        <v>198830583.15328094</v>
      </c>
      <c r="M95" s="53"/>
      <c r="N95" s="53">
        <f t="shared" si="29"/>
        <v>0</v>
      </c>
      <c r="O95" s="53">
        <f t="shared" si="29"/>
        <v>198830583.15328094</v>
      </c>
      <c r="P95" s="53">
        <f t="shared" si="29"/>
        <v>0</v>
      </c>
      <c r="Q95" s="53">
        <f t="shared" si="29"/>
        <v>198830583.15328094</v>
      </c>
      <c r="R95" s="53">
        <f t="shared" si="29"/>
        <v>-27098490.815960508</v>
      </c>
      <c r="S95" s="53">
        <f t="shared" si="29"/>
        <v>-850000</v>
      </c>
      <c r="T95" s="53">
        <f>SUM(T66:T94)</f>
        <v>25739262.750426929</v>
      </c>
    </row>
    <row r="96" spans="1:20">
      <c r="E96" s="53"/>
      <c r="F96" s="53"/>
      <c r="G96" s="53"/>
      <c r="H96" s="53"/>
      <c r="I96" s="53"/>
      <c r="J96" s="53"/>
      <c r="K96" s="53"/>
      <c r="L96" s="59"/>
    </row>
    <row r="97" spans="1:17">
      <c r="A97" s="229"/>
      <c r="E97" s="53"/>
      <c r="F97" s="53"/>
      <c r="G97" s="53"/>
      <c r="H97" s="53"/>
      <c r="I97" s="53"/>
      <c r="J97" s="53"/>
      <c r="K97" s="53"/>
      <c r="L97" s="59"/>
      <c r="M97" s="189"/>
      <c r="N97" s="189"/>
      <c r="O97" s="189"/>
    </row>
    <row r="98" spans="1:17">
      <c r="K98" s="185"/>
      <c r="L98" s="185"/>
      <c r="M98" s="185"/>
      <c r="N98" s="185"/>
      <c r="O98" s="185"/>
    </row>
    <row r="99" spans="1:17">
      <c r="K99" s="185"/>
      <c r="L99" s="185"/>
      <c r="M99" s="185"/>
      <c r="N99" s="185"/>
      <c r="O99" s="185"/>
    </row>
    <row r="101" spans="1:17" ht="13.5" thickBot="1">
      <c r="A101" s="230" t="s">
        <v>182</v>
      </c>
    </row>
    <row r="102" spans="1:17">
      <c r="A102" s="231" t="s">
        <v>58</v>
      </c>
      <c r="C102" s="1032" t="s">
        <v>374</v>
      </c>
      <c r="D102" s="1032"/>
      <c r="E102" s="1032"/>
      <c r="F102" s="1032"/>
      <c r="G102" s="1032"/>
      <c r="H102" s="1032"/>
      <c r="I102" s="1032"/>
      <c r="J102" s="1032"/>
      <c r="K102" s="1032"/>
      <c r="L102" s="1032"/>
      <c r="M102" s="1032"/>
      <c r="N102" s="1032"/>
      <c r="O102" s="1032"/>
      <c r="P102" s="1032"/>
      <c r="Q102" s="1032"/>
    </row>
    <row r="103" spans="1:17">
      <c r="A103" s="231" t="s">
        <v>59</v>
      </c>
      <c r="C103" s="1032" t="s">
        <v>357</v>
      </c>
      <c r="D103" s="1032"/>
      <c r="E103" s="1032"/>
      <c r="F103" s="1032"/>
      <c r="G103" s="1032"/>
      <c r="H103" s="1032"/>
      <c r="I103" s="1032"/>
      <c r="J103" s="1032"/>
      <c r="K103" s="1032"/>
      <c r="L103" s="1032"/>
      <c r="M103" s="1032"/>
      <c r="N103" s="1032"/>
      <c r="O103" s="1032"/>
      <c r="P103" s="1032"/>
      <c r="Q103" s="1032"/>
    </row>
    <row r="104" spans="1:17">
      <c r="A104" s="231" t="s">
        <v>60</v>
      </c>
      <c r="C104" s="1033" t="s">
        <v>364</v>
      </c>
      <c r="D104" s="1033"/>
      <c r="E104" s="1033"/>
      <c r="F104" s="1033"/>
      <c r="G104" s="1033"/>
      <c r="H104" s="1033"/>
      <c r="I104" s="1033"/>
      <c r="J104" s="1033"/>
      <c r="K104" s="1033"/>
      <c r="L104" s="1033"/>
      <c r="M104" s="1033"/>
      <c r="N104" s="1033"/>
      <c r="O104" s="1033"/>
      <c r="P104" s="1033"/>
      <c r="Q104" s="1033"/>
    </row>
    <row r="105" spans="1:17">
      <c r="C105" s="148" t="s">
        <v>358</v>
      </c>
    </row>
    <row r="106" spans="1:17">
      <c r="A106" s="231" t="s">
        <v>61</v>
      </c>
      <c r="C106" s="1033" t="s">
        <v>1142</v>
      </c>
      <c r="D106" s="1033"/>
      <c r="E106" s="1033"/>
      <c r="F106" s="1033"/>
      <c r="G106" s="1033"/>
      <c r="H106" s="1033"/>
      <c r="I106" s="1033"/>
      <c r="J106" s="1033"/>
      <c r="K106" s="1033"/>
      <c r="L106" s="1033"/>
      <c r="M106" s="1033"/>
      <c r="N106" s="1033"/>
      <c r="O106" s="1033"/>
      <c r="P106" s="1033"/>
      <c r="Q106" s="1033"/>
    </row>
    <row r="107" spans="1:17">
      <c r="A107" s="177" t="s">
        <v>62</v>
      </c>
      <c r="C107" s="1031" t="s">
        <v>923</v>
      </c>
      <c r="D107" s="1031"/>
      <c r="E107" s="1031"/>
      <c r="F107" s="1031"/>
      <c r="G107" s="1031"/>
      <c r="H107" s="1031"/>
      <c r="I107" s="1031"/>
      <c r="J107" s="1031"/>
      <c r="K107" s="1031"/>
      <c r="L107" s="1031"/>
      <c r="M107" s="1031"/>
      <c r="N107" s="1031"/>
      <c r="O107" s="1031"/>
      <c r="P107" s="1031"/>
      <c r="Q107" s="1031"/>
    </row>
    <row r="108" spans="1:17">
      <c r="A108" s="177" t="s">
        <v>63</v>
      </c>
      <c r="C108" s="1031" t="s">
        <v>1390</v>
      </c>
      <c r="D108" s="1031"/>
      <c r="E108" s="1031"/>
      <c r="F108" s="1031"/>
      <c r="G108" s="1031"/>
      <c r="H108" s="1031"/>
      <c r="I108" s="1031"/>
      <c r="J108" s="1031"/>
      <c r="K108" s="1031"/>
      <c r="L108" s="1031"/>
      <c r="M108" s="1031"/>
      <c r="N108" s="1031"/>
      <c r="O108" s="1031"/>
      <c r="P108" s="1031"/>
      <c r="Q108" s="1031"/>
    </row>
    <row r="109" spans="1:17">
      <c r="A109" s="177" t="s">
        <v>64</v>
      </c>
      <c r="C109" s="1031" t="s">
        <v>1391</v>
      </c>
      <c r="D109" s="1031"/>
      <c r="E109" s="1031"/>
      <c r="F109" s="1031"/>
      <c r="G109" s="1031"/>
      <c r="H109" s="1031"/>
      <c r="I109" s="1031"/>
      <c r="J109" s="1031"/>
      <c r="K109" s="1031"/>
      <c r="L109" s="1031"/>
      <c r="M109" s="1031"/>
      <c r="N109" s="1031"/>
      <c r="O109" s="1031"/>
      <c r="P109" s="1031"/>
      <c r="Q109" s="1031"/>
    </row>
    <row r="110" spans="1:17">
      <c r="A110" s="177" t="s">
        <v>65</v>
      </c>
      <c r="C110" s="1031" t="s">
        <v>375</v>
      </c>
      <c r="D110" s="1031"/>
      <c r="E110" s="1031"/>
      <c r="F110" s="1031"/>
      <c r="G110" s="1031"/>
      <c r="H110" s="1031"/>
      <c r="I110" s="1031"/>
      <c r="J110" s="1031"/>
      <c r="K110" s="1031"/>
      <c r="L110" s="1031"/>
      <c r="M110" s="1031"/>
      <c r="N110" s="1031"/>
      <c r="O110" s="1031"/>
      <c r="P110" s="1031"/>
      <c r="Q110" s="1031"/>
    </row>
    <row r="111" spans="1:17">
      <c r="A111" s="177" t="s">
        <v>66</v>
      </c>
      <c r="C111" s="148" t="s">
        <v>315</v>
      </c>
    </row>
    <row r="112" spans="1:17">
      <c r="A112" s="160" t="s">
        <v>67</v>
      </c>
      <c r="C112" s="148" t="s">
        <v>429</v>
      </c>
      <c r="P112" s="155"/>
      <c r="Q112" s="192"/>
    </row>
    <row r="113" spans="1:17">
      <c r="A113" s="160" t="s">
        <v>99</v>
      </c>
      <c r="C113" s="148" t="s">
        <v>311</v>
      </c>
      <c r="D113" s="160"/>
      <c r="E113" s="177"/>
      <c r="F113" s="177"/>
      <c r="G113" s="155"/>
      <c r="J113" s="175"/>
      <c r="P113" s="155"/>
      <c r="Q113" s="172"/>
    </row>
    <row r="114" spans="1:17">
      <c r="A114" s="177" t="s">
        <v>117</v>
      </c>
      <c r="C114" s="21" t="s">
        <v>1114</v>
      </c>
      <c r="G114" s="232"/>
    </row>
    <row r="115" spans="1:17">
      <c r="A115" s="177" t="s">
        <v>406</v>
      </c>
      <c r="C115" s="148" t="s">
        <v>407</v>
      </c>
      <c r="K115" s="232"/>
    </row>
    <row r="116" spans="1:17">
      <c r="A116" s="177" t="s">
        <v>120</v>
      </c>
      <c r="C116" s="148" t="s">
        <v>410</v>
      </c>
    </row>
    <row r="117" spans="1:17">
      <c r="C117" s="148" t="s">
        <v>408</v>
      </c>
    </row>
    <row r="118" spans="1:17">
      <c r="A118" s="177" t="s">
        <v>121</v>
      </c>
      <c r="C118" s="1030" t="s">
        <v>767</v>
      </c>
      <c r="D118" s="1030"/>
      <c r="E118" s="1030"/>
      <c r="F118" s="1030"/>
      <c r="G118" s="1030"/>
    </row>
    <row r="119" spans="1:17">
      <c r="A119" s="177" t="s">
        <v>122</v>
      </c>
      <c r="C119" s="1030" t="s">
        <v>1227</v>
      </c>
      <c r="D119" s="1030"/>
      <c r="E119" s="1030"/>
      <c r="F119" s="1030"/>
      <c r="G119" s="1030"/>
    </row>
  </sheetData>
  <sheetProtection algorithmName="SHA-512" hashValue="gnAsV+cOk7mvOZjkNpC+b8kEgmPCEiscRKDgB4KW1UPEuC6zK5JSoxBaXx0DSQVGBLHxZ3XxJa1SyVXtfawArQ==" saltValue="vNn+z7JI2dm2La2mM7FmdQ==" spinCount="100000" sheet="1" objects="1" scenarios="1"/>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10">
    <mergeCell ref="C119:G119"/>
    <mergeCell ref="C109:Q109"/>
    <mergeCell ref="C110:Q110"/>
    <mergeCell ref="C102:Q102"/>
    <mergeCell ref="C103:Q103"/>
    <mergeCell ref="C104:Q104"/>
    <mergeCell ref="C106:Q106"/>
    <mergeCell ref="C107:Q107"/>
    <mergeCell ref="C108:Q108"/>
    <mergeCell ref="C118:G118"/>
  </mergeCells>
  <phoneticPr fontId="0" type="noConversion"/>
  <pageMargins left="0.25" right="0.25" top="0.75" bottom="0.75" header="0.3" footer="0.3"/>
  <pageSetup scale="40" fitToHeight="2" orientation="landscape" r:id="rId2"/>
  <rowBreaks count="1" manualBreakCount="1">
    <brk id="51"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8"/>
  <sheetViews>
    <sheetView view="pageBreakPreview" zoomScale="70" zoomScaleNormal="100" zoomScaleSheetLayoutView="70" workbookViewId="0">
      <selection activeCell="D26" sqref="D26"/>
    </sheetView>
  </sheetViews>
  <sheetFormatPr defaultColWidth="8.77734375" defaultRowHeight="15.75"/>
  <cols>
    <col min="1" max="1" width="5.5546875" style="11" customWidth="1"/>
    <col min="2" max="2" width="21.5546875" style="7" customWidth="1"/>
    <col min="3" max="3" width="38.44140625" style="7" customWidth="1"/>
    <col min="4" max="4" width="25.21875" style="7" customWidth="1"/>
    <col min="5" max="5" width="13.5546875" style="7" customWidth="1"/>
    <col min="6" max="6" width="6.5546875" style="7" customWidth="1"/>
    <col min="7" max="7" width="9" style="7" bestFit="1" customWidth="1"/>
    <col min="8" max="8" width="7.33203125" style="7" customWidth="1"/>
    <col min="9" max="9" width="12.33203125" style="7" customWidth="1"/>
    <col min="10" max="10" width="18" style="8" customWidth="1"/>
    <col min="11" max="11" width="16" style="7" customWidth="1"/>
    <col min="12" max="16384" width="8.77734375" style="7"/>
  </cols>
  <sheetData>
    <row r="1" spans="1:11">
      <c r="A1" s="233"/>
      <c r="B1" s="16"/>
      <c r="C1" s="234"/>
      <c r="D1" s="234"/>
      <c r="E1" s="234"/>
      <c r="F1" s="235"/>
      <c r="G1" s="234"/>
      <c r="H1" s="234"/>
      <c r="I1" s="234"/>
      <c r="J1" s="236"/>
      <c r="K1" s="16"/>
    </row>
    <row r="2" spans="1:11">
      <c r="A2" s="233"/>
      <c r="B2" s="233"/>
      <c r="C2" s="234"/>
      <c r="D2" s="234"/>
      <c r="E2" s="234"/>
      <c r="F2" s="235"/>
      <c r="G2" s="234"/>
      <c r="H2" s="234"/>
      <c r="I2" s="234"/>
      <c r="J2" s="236"/>
      <c r="K2" s="16"/>
    </row>
    <row r="3" spans="1:11">
      <c r="A3" s="233"/>
      <c r="B3" s="16"/>
      <c r="C3" s="234"/>
      <c r="D3" s="237" t="s">
        <v>2</v>
      </c>
      <c r="E3" s="237"/>
      <c r="F3" s="235" t="s">
        <v>251</v>
      </c>
      <c r="G3" s="16"/>
      <c r="H3" s="237"/>
      <c r="I3" s="237"/>
      <c r="J3" s="238"/>
      <c r="K3" s="239" t="s">
        <v>419</v>
      </c>
    </row>
    <row r="4" spans="1:11">
      <c r="A4" s="240"/>
      <c r="B4" s="238"/>
      <c r="C4" s="238"/>
      <c r="D4" s="238"/>
      <c r="E4" s="238"/>
      <c r="F4" s="235" t="s">
        <v>316</v>
      </c>
      <c r="G4" s="16"/>
      <c r="H4" s="238"/>
      <c r="I4" s="238"/>
      <c r="J4" s="238"/>
      <c r="K4" s="239"/>
    </row>
    <row r="5" spans="1:11">
      <c r="A5" s="233"/>
      <c r="B5" s="238"/>
      <c r="C5" s="238"/>
      <c r="D5" s="238"/>
      <c r="E5" s="16"/>
      <c r="F5" s="241" t="str">
        <f>+'Attachment H-7'!D5</f>
        <v>PECO Energy Company</v>
      </c>
      <c r="G5" s="16"/>
      <c r="H5" s="238"/>
      <c r="I5" s="238"/>
      <c r="J5" s="238"/>
      <c r="K5" s="238"/>
    </row>
    <row r="6" spans="1:11">
      <c r="A6" s="233"/>
      <c r="B6" s="16"/>
      <c r="C6" s="16"/>
      <c r="D6" s="16"/>
      <c r="E6" s="16"/>
      <c r="F6" s="16"/>
      <c r="G6" s="16"/>
      <c r="H6" s="16"/>
      <c r="I6" s="16"/>
      <c r="J6" s="242"/>
      <c r="K6" s="16"/>
    </row>
    <row r="7" spans="1:11">
      <c r="A7" s="233">
        <v>1</v>
      </c>
      <c r="B7" s="16" t="s">
        <v>304</v>
      </c>
      <c r="C7" s="16" t="s">
        <v>1107</v>
      </c>
      <c r="D7" s="16"/>
      <c r="E7" s="16"/>
      <c r="F7" s="16"/>
      <c r="G7" s="16"/>
      <c r="H7" s="16"/>
      <c r="I7" s="16"/>
      <c r="J7" s="16"/>
      <c r="K7" s="233">
        <f>+'Attachment H-7'!I101</f>
        <v>994404360.27501523</v>
      </c>
    </row>
    <row r="8" spans="1:11">
      <c r="A8" s="233"/>
      <c r="B8" s="16"/>
      <c r="C8" s="16"/>
      <c r="D8" s="16"/>
      <c r="E8" s="16"/>
      <c r="F8" s="16"/>
      <c r="G8" s="16"/>
      <c r="H8" s="16"/>
      <c r="I8" s="16"/>
      <c r="J8" s="16"/>
      <c r="K8" s="242"/>
    </row>
    <row r="9" spans="1:11" ht="16.5" thickBot="1">
      <c r="A9" s="243">
        <f>+A7+1</f>
        <v>2</v>
      </c>
      <c r="B9" s="244" t="s">
        <v>252</v>
      </c>
      <c r="C9" s="245"/>
      <c r="D9" s="245"/>
      <c r="E9" s="245"/>
      <c r="F9" s="245"/>
      <c r="G9" s="245"/>
      <c r="H9" s="245"/>
      <c r="I9" s="245"/>
      <c r="J9" s="246" t="s">
        <v>44</v>
      </c>
      <c r="K9" s="242"/>
    </row>
    <row r="10" spans="1:11">
      <c r="A10" s="243"/>
      <c r="B10" s="244"/>
      <c r="C10" s="245"/>
      <c r="D10" s="245"/>
      <c r="E10" s="245"/>
      <c r="F10" s="245"/>
      <c r="G10" s="245"/>
      <c r="H10" s="247" t="s">
        <v>52</v>
      </c>
      <c r="I10" s="245"/>
      <c r="J10" s="245"/>
      <c r="K10" s="242"/>
    </row>
    <row r="11" spans="1:11" ht="16.5" thickBot="1">
      <c r="A11" s="243"/>
      <c r="B11" s="244"/>
      <c r="C11" s="245"/>
      <c r="D11" s="245"/>
      <c r="E11" s="248" t="s">
        <v>44</v>
      </c>
      <c r="F11" s="248" t="s">
        <v>53</v>
      </c>
      <c r="G11" s="245"/>
      <c r="H11" s="248"/>
      <c r="I11" s="245"/>
      <c r="J11" s="248" t="s">
        <v>54</v>
      </c>
      <c r="K11" s="242"/>
    </row>
    <row r="12" spans="1:11">
      <c r="A12" s="243">
        <f>+A9+1</f>
        <v>3</v>
      </c>
      <c r="B12" s="244" t="s">
        <v>235</v>
      </c>
      <c r="C12" s="249" t="s">
        <v>1105</v>
      </c>
      <c r="D12" s="249"/>
      <c r="E12" s="250">
        <f>+'Attachment H-7'!D203</f>
        <v>3409418609</v>
      </c>
      <c r="F12" s="251">
        <f>+'Attachment H-7'!E203</f>
        <v>0.45590031584441404</v>
      </c>
      <c r="G12" s="252"/>
      <c r="H12" s="253">
        <f>+'Attachment H-7'!G203</f>
        <v>4.0263337461005806E-2</v>
      </c>
      <c r="I12" s="252"/>
      <c r="J12" s="254">
        <f>F12*H12</f>
        <v>1.8356068265422774E-2</v>
      </c>
      <c r="K12" s="242"/>
    </row>
    <row r="13" spans="1:11">
      <c r="A13" s="243">
        <f>+A12+1</f>
        <v>4</v>
      </c>
      <c r="B13" s="244" t="s">
        <v>305</v>
      </c>
      <c r="C13" s="249" t="s">
        <v>1105</v>
      </c>
      <c r="D13" s="249"/>
      <c r="E13" s="250">
        <f>+'Attachment H-7'!D204</f>
        <v>0</v>
      </c>
      <c r="F13" s="251">
        <f>+'Attachment H-7'!E204</f>
        <v>0</v>
      </c>
      <c r="G13" s="252"/>
      <c r="H13" s="253">
        <f>+'Attachment H-7'!G204</f>
        <v>0</v>
      </c>
      <c r="I13" s="252"/>
      <c r="J13" s="254">
        <f>F13*H13</f>
        <v>0</v>
      </c>
      <c r="K13" s="242"/>
    </row>
    <row r="14" spans="1:11" ht="32.25" thickBot="1">
      <c r="A14" s="250">
        <f>+A13+1</f>
        <v>5</v>
      </c>
      <c r="B14" s="244" t="s">
        <v>279</v>
      </c>
      <c r="C14" s="249" t="s">
        <v>1106</v>
      </c>
      <c r="D14" s="255" t="s">
        <v>1118</v>
      </c>
      <c r="E14" s="250">
        <f>+'Attachment H-7'!D205</f>
        <v>4069011412.8900013</v>
      </c>
      <c r="F14" s="251">
        <f>+'Attachment H-7'!E205</f>
        <v>0.54409968415558596</v>
      </c>
      <c r="G14" s="252"/>
      <c r="H14" s="253">
        <f>+'Attachment H-7'!G205+0.01</f>
        <v>0.11349999999999999</v>
      </c>
      <c r="I14" s="252"/>
      <c r="J14" s="256">
        <f>F14*H14</f>
        <v>6.1755314151659003E-2</v>
      </c>
      <c r="K14" s="242"/>
    </row>
    <row r="15" spans="1:11">
      <c r="A15" s="243">
        <f>+A14+1</f>
        <v>6</v>
      </c>
      <c r="B15" s="244" t="s">
        <v>377</v>
      </c>
      <c r="C15" s="257"/>
      <c r="D15" s="257"/>
      <c r="E15" s="250">
        <f>SUM(E12:E14)</f>
        <v>7478430021.8900013</v>
      </c>
      <c r="F15" s="252" t="s">
        <v>2</v>
      </c>
      <c r="G15" s="252"/>
      <c r="H15" s="252"/>
      <c r="I15" s="252"/>
      <c r="J15" s="254">
        <f>SUM(J12:J14)</f>
        <v>8.0111382417081781E-2</v>
      </c>
      <c r="K15" s="242"/>
    </row>
    <row r="16" spans="1:11">
      <c r="A16" s="243">
        <f t="shared" ref="A16:A40" si="0">+A15+1</f>
        <v>7</v>
      </c>
      <c r="B16" s="244" t="s">
        <v>259</v>
      </c>
      <c r="C16" s="257"/>
      <c r="D16" s="257"/>
      <c r="E16" s="258"/>
      <c r="F16" s="245"/>
      <c r="G16" s="245"/>
      <c r="H16" s="245"/>
      <c r="I16" s="245"/>
      <c r="J16" s="252"/>
      <c r="K16" s="252">
        <f>+J15*K7</f>
        <v>79663107.983205318</v>
      </c>
    </row>
    <row r="17" spans="1:11">
      <c r="A17" s="243"/>
      <c r="B17" s="16"/>
      <c r="C17" s="16"/>
      <c r="D17" s="16"/>
      <c r="E17" s="16"/>
      <c r="F17" s="16"/>
      <c r="G17" s="16"/>
      <c r="H17" s="16"/>
      <c r="I17" s="16"/>
      <c r="J17" s="16"/>
      <c r="K17" s="242"/>
    </row>
    <row r="18" spans="1:11">
      <c r="A18" s="243">
        <f>+A16+1</f>
        <v>8</v>
      </c>
      <c r="B18" s="244" t="s">
        <v>36</v>
      </c>
      <c r="C18" s="259"/>
      <c r="D18" s="259"/>
      <c r="E18" s="245"/>
      <c r="F18" s="245"/>
      <c r="G18" s="257"/>
      <c r="H18" s="260"/>
      <c r="I18" s="245"/>
      <c r="J18" s="257"/>
      <c r="K18" s="242"/>
    </row>
    <row r="19" spans="1:11">
      <c r="A19" s="243">
        <f t="shared" si="0"/>
        <v>9</v>
      </c>
      <c r="B19" s="261" t="s">
        <v>310</v>
      </c>
      <c r="C19" s="245"/>
      <c r="D19" s="4"/>
      <c r="E19" s="262">
        <f>IF('Attachment H-7'!D232&gt;0,1-(((1-'Attachment H-7'!D233)*(1-'Attachment H-7'!D232))/(1-'Attachment H-7'!D232*'Attachment H-7'!D233*'Attachment H-7'!D234)),0)</f>
        <v>0.28892099999999998</v>
      </c>
      <c r="F19" s="263"/>
      <c r="G19" s="257"/>
      <c r="H19" s="260"/>
      <c r="I19" s="245"/>
      <c r="J19" s="257"/>
      <c r="K19" s="242"/>
    </row>
    <row r="20" spans="1:11">
      <c r="A20" s="243">
        <f t="shared" si="0"/>
        <v>10</v>
      </c>
      <c r="B20" s="257" t="s">
        <v>37</v>
      </c>
      <c r="C20" s="245"/>
      <c r="D20" s="4"/>
      <c r="E20" s="262">
        <f>IF(J15&gt;0,(E19/(1-E19))*(1-J12/J15),0)</f>
        <v>0.31321414406908332</v>
      </c>
      <c r="F20" s="245"/>
      <c r="G20" s="257"/>
      <c r="H20" s="260"/>
      <c r="I20" s="245"/>
      <c r="J20" s="257"/>
      <c r="K20" s="242"/>
    </row>
    <row r="21" spans="1:11">
      <c r="A21" s="243">
        <f t="shared" si="0"/>
        <v>11</v>
      </c>
      <c r="B21" s="259" t="s">
        <v>306</v>
      </c>
      <c r="C21" s="259"/>
      <c r="D21" s="4"/>
      <c r="E21" s="245"/>
      <c r="F21" s="245"/>
      <c r="G21" s="257"/>
      <c r="H21" s="260"/>
      <c r="I21" s="245"/>
      <c r="J21" s="257"/>
      <c r="K21" s="242"/>
    </row>
    <row r="22" spans="1:11">
      <c r="A22" s="243">
        <f t="shared" si="0"/>
        <v>12</v>
      </c>
      <c r="B22" s="264" t="s">
        <v>307</v>
      </c>
      <c r="C22" s="259"/>
      <c r="D22" s="259"/>
      <c r="E22" s="245"/>
      <c r="F22" s="245"/>
      <c r="G22" s="257"/>
      <c r="H22" s="260"/>
      <c r="I22" s="245"/>
      <c r="J22" s="257"/>
      <c r="K22" s="242"/>
    </row>
    <row r="23" spans="1:11">
      <c r="A23" s="243">
        <f t="shared" si="0"/>
        <v>13</v>
      </c>
      <c r="B23" s="265" t="str">
        <f>"      1 / (1 - T)  =  (from line "&amp;A19&amp;")"</f>
        <v xml:space="preserve">      1 / (1 - T)  =  (from line 9)</v>
      </c>
      <c r="C23" s="259"/>
      <c r="D23" s="259"/>
      <c r="E23" s="263">
        <f>IF(E19&gt;0,1/(1-E19),0)</f>
        <v>1.4063135038441579</v>
      </c>
      <c r="F23" s="245"/>
      <c r="G23" s="257"/>
      <c r="H23" s="260"/>
      <c r="I23" s="245"/>
      <c r="J23" s="257"/>
      <c r="K23" s="242"/>
    </row>
    <row r="24" spans="1:11">
      <c r="A24" s="243">
        <f t="shared" si="0"/>
        <v>14</v>
      </c>
      <c r="B24" s="264" t="s">
        <v>253</v>
      </c>
      <c r="C24" s="259"/>
      <c r="D24" s="259" t="s">
        <v>1108</v>
      </c>
      <c r="E24" s="266">
        <f>+'Attachment H-7'!D157</f>
        <v>-2976.3507628454327</v>
      </c>
      <c r="F24" s="245"/>
      <c r="G24" s="257"/>
      <c r="H24" s="260"/>
      <c r="I24" s="245"/>
      <c r="J24" s="257"/>
      <c r="K24" s="242"/>
    </row>
    <row r="25" spans="1:11">
      <c r="A25" s="243">
        <f t="shared" si="0"/>
        <v>15</v>
      </c>
      <c r="B25" s="264" t="s">
        <v>254</v>
      </c>
      <c r="C25" s="259"/>
      <c r="D25" s="259" t="s">
        <v>1109</v>
      </c>
      <c r="E25" s="266">
        <f>+'Attachment H-7'!D158</f>
        <v>-3250819.9806056628</v>
      </c>
      <c r="F25" s="245"/>
      <c r="G25" s="257"/>
      <c r="H25" s="267"/>
      <c r="I25" s="245"/>
      <c r="J25" s="257"/>
      <c r="K25" s="242"/>
    </row>
    <row r="26" spans="1:11">
      <c r="A26" s="243">
        <f t="shared" si="0"/>
        <v>16</v>
      </c>
      <c r="B26" s="264" t="s">
        <v>308</v>
      </c>
      <c r="C26" s="259"/>
      <c r="D26" s="259" t="s">
        <v>1110</v>
      </c>
      <c r="E26" s="266">
        <f>+'Attachment H-7'!D159</f>
        <v>282655.2075020941</v>
      </c>
      <c r="F26" s="245"/>
      <c r="G26" s="257"/>
      <c r="H26" s="260"/>
      <c r="I26" s="245"/>
      <c r="J26" s="257"/>
      <c r="K26" s="242"/>
    </row>
    <row r="27" spans="1:11">
      <c r="A27" s="243">
        <f t="shared" si="0"/>
        <v>17</v>
      </c>
      <c r="B27" s="265" t="str">
        <f>"Income Tax Calculation = line "&amp;A20&amp;" * line "&amp;A16&amp;""</f>
        <v>Income Tax Calculation = line 10 * line 7</v>
      </c>
      <c r="C27" s="268"/>
      <c r="D27" s="16"/>
      <c r="E27" s="269">
        <f>+E20*K16</f>
        <v>24951612.180842612</v>
      </c>
      <c r="F27" s="270"/>
      <c r="G27" s="270" t="s">
        <v>22</v>
      </c>
      <c r="H27" s="271"/>
      <c r="I27" s="270"/>
      <c r="J27" s="269">
        <f>+E20*K16</f>
        <v>24951612.180842612</v>
      </c>
      <c r="K27" s="242"/>
    </row>
    <row r="28" spans="1:11">
      <c r="A28" s="243">
        <f t="shared" si="0"/>
        <v>18</v>
      </c>
      <c r="B28" s="249" t="str">
        <f>"ITC adjustment (line "&amp;A23&amp;" * line "&amp;A24&amp;")"</f>
        <v>ITC adjustment (line 13 * line 14)</v>
      </c>
      <c r="C28" s="268"/>
      <c r="D28" s="268"/>
      <c r="E28" s="269">
        <f>+E$23*E24</f>
        <v>-4185.6822699663926</v>
      </c>
      <c r="F28" s="270"/>
      <c r="G28" s="272" t="s">
        <v>15</v>
      </c>
      <c r="H28" s="254">
        <v>1</v>
      </c>
      <c r="I28" s="270"/>
      <c r="J28" s="269">
        <f>+E28*H28</f>
        <v>-4185.6822699663926</v>
      </c>
      <c r="K28" s="242"/>
    </row>
    <row r="29" spans="1:11">
      <c r="A29" s="243">
        <f t="shared" si="0"/>
        <v>19</v>
      </c>
      <c r="B29" s="249" t="str">
        <f>"Excess Deferred Income Tax Adjustment (line "&amp;A23&amp;" * line "&amp;A25&amp;")"</f>
        <v>Excess Deferred Income Tax Adjustment (line 13 * line 15)</v>
      </c>
      <c r="C29" s="268"/>
      <c r="D29" s="268"/>
      <c r="E29" s="269">
        <f>+E$23*E25</f>
        <v>-4571672.0372921471</v>
      </c>
      <c r="F29" s="270"/>
      <c r="G29" s="272" t="s">
        <v>15</v>
      </c>
      <c r="H29" s="254">
        <f>H28</f>
        <v>1</v>
      </c>
      <c r="I29" s="270"/>
      <c r="J29" s="269">
        <f>+E29*H29</f>
        <v>-4571672.0372921471</v>
      </c>
      <c r="K29" s="242"/>
    </row>
    <row r="30" spans="1:11">
      <c r="A30" s="243">
        <f t="shared" si="0"/>
        <v>20</v>
      </c>
      <c r="B30" s="249" t="str">
        <f>"Permanent Differences Tax Adjustment (line "&amp;A23&amp;" * "&amp;A26&amp;")"</f>
        <v>Permanent Differences Tax Adjustment (line 13 * 16)</v>
      </c>
      <c r="C30" s="268"/>
      <c r="D30" s="268"/>
      <c r="E30" s="273">
        <f>+E$23*E26</f>
        <v>397501.83524206746</v>
      </c>
      <c r="F30" s="270"/>
      <c r="G30" s="272" t="s">
        <v>15</v>
      </c>
      <c r="H30" s="254">
        <f>H29</f>
        <v>1</v>
      </c>
      <c r="I30" s="270"/>
      <c r="J30" s="273">
        <f>+E30*H30</f>
        <v>397501.83524206746</v>
      </c>
      <c r="K30" s="242"/>
    </row>
    <row r="31" spans="1:11">
      <c r="A31" s="243">
        <f t="shared" si="0"/>
        <v>21</v>
      </c>
      <c r="B31" s="265" t="str">
        <f>"Total Income Taxes (sum lines "&amp;A27&amp;" - "&amp;A30&amp;")"</f>
        <v>Total Income Taxes (sum lines 17 - 20)</v>
      </c>
      <c r="C31" s="249"/>
      <c r="D31" s="249"/>
      <c r="E31" s="266">
        <f>SUM(E27:E30)</f>
        <v>20773256.296522561</v>
      </c>
      <c r="F31" s="270"/>
      <c r="G31" s="270" t="s">
        <v>2</v>
      </c>
      <c r="H31" s="271" t="s">
        <v>2</v>
      </c>
      <c r="I31" s="270"/>
      <c r="J31" s="266">
        <f>SUM(J27:J30)</f>
        <v>20773256.296522561</v>
      </c>
      <c r="K31" s="233">
        <f>+J31</f>
        <v>20773256.296522561</v>
      </c>
    </row>
    <row r="32" spans="1:11">
      <c r="A32" s="243"/>
      <c r="B32" s="16"/>
      <c r="C32" s="16"/>
      <c r="D32" s="16"/>
      <c r="E32" s="16"/>
      <c r="F32" s="16"/>
      <c r="G32" s="16"/>
      <c r="H32" s="16"/>
      <c r="I32" s="16"/>
      <c r="J32" s="16"/>
      <c r="K32" s="274"/>
    </row>
    <row r="33" spans="1:11">
      <c r="A33" s="243">
        <f>+A31+1</f>
        <v>22</v>
      </c>
      <c r="B33" s="249" t="s">
        <v>255</v>
      </c>
      <c r="C33" s="16"/>
      <c r="D33" s="16" t="s">
        <v>431</v>
      </c>
      <c r="E33" s="16"/>
      <c r="F33" s="16"/>
      <c r="G33" s="16"/>
      <c r="H33" s="16"/>
      <c r="I33" s="16"/>
      <c r="J33" s="16"/>
      <c r="K33" s="233">
        <f>+K31+K16</f>
        <v>100436364.27972788</v>
      </c>
    </row>
    <row r="34" spans="1:11">
      <c r="A34" s="243"/>
      <c r="B34" s="16"/>
      <c r="C34" s="16"/>
      <c r="D34" s="16"/>
      <c r="E34" s="16"/>
      <c r="F34" s="16"/>
      <c r="G34" s="16"/>
      <c r="H34" s="16"/>
      <c r="I34" s="16"/>
      <c r="J34" s="16"/>
      <c r="K34" s="274"/>
    </row>
    <row r="35" spans="1:11">
      <c r="A35" s="243">
        <f>+A33+1</f>
        <v>23</v>
      </c>
      <c r="B35" s="16" t="s">
        <v>1112</v>
      </c>
      <c r="C35" s="16"/>
      <c r="D35" s="16"/>
      <c r="E35" s="16"/>
      <c r="F35" s="16"/>
      <c r="G35" s="16"/>
      <c r="H35" s="16"/>
      <c r="I35" s="16"/>
      <c r="J35" s="16"/>
      <c r="K35" s="233">
        <f>+'Attachment H-7'!I167</f>
        <v>74252556.999719575</v>
      </c>
    </row>
    <row r="36" spans="1:11">
      <c r="A36" s="243">
        <f t="shared" si="0"/>
        <v>24</v>
      </c>
      <c r="B36" s="16" t="s">
        <v>1113</v>
      </c>
      <c r="C36" s="16"/>
      <c r="D36" s="16"/>
      <c r="E36" s="16"/>
      <c r="F36" s="16"/>
      <c r="G36" s="16"/>
      <c r="H36" s="16"/>
      <c r="I36" s="16"/>
      <c r="J36" s="16"/>
      <c r="K36" s="233">
        <f>+'Attachment H-7'!I164</f>
        <v>18574876.368695017</v>
      </c>
    </row>
    <row r="37" spans="1:11">
      <c r="A37" s="243">
        <f t="shared" si="0"/>
        <v>25</v>
      </c>
      <c r="B37" s="249" t="s">
        <v>256</v>
      </c>
      <c r="C37" s="16"/>
      <c r="D37" s="16" t="s">
        <v>432</v>
      </c>
      <c r="E37" s="16"/>
      <c r="F37" s="16"/>
      <c r="G37" s="16"/>
      <c r="H37" s="16"/>
      <c r="I37" s="16"/>
      <c r="J37" s="16"/>
      <c r="K37" s="275">
        <f>SUM(K35:K36)</f>
        <v>92827433.368414596</v>
      </c>
    </row>
    <row r="38" spans="1:11">
      <c r="A38" s="243">
        <f t="shared" si="0"/>
        <v>26</v>
      </c>
      <c r="B38" s="249" t="s">
        <v>257</v>
      </c>
      <c r="C38" s="16"/>
      <c r="D38" s="16" t="s">
        <v>433</v>
      </c>
      <c r="E38" s="16"/>
      <c r="F38" s="16"/>
      <c r="G38" s="16"/>
      <c r="H38" s="16"/>
      <c r="I38" s="16"/>
      <c r="J38" s="16"/>
      <c r="K38" s="233">
        <f>+K33-K37</f>
        <v>7608930.9113132805</v>
      </c>
    </row>
    <row r="39" spans="1:11">
      <c r="A39" s="243">
        <f t="shared" si="0"/>
        <v>27</v>
      </c>
      <c r="B39" s="16" t="s">
        <v>309</v>
      </c>
      <c r="C39" s="16"/>
      <c r="D39" s="16"/>
      <c r="E39" s="16"/>
      <c r="F39" s="16"/>
      <c r="G39" s="16"/>
      <c r="H39" s="16"/>
      <c r="I39" s="16"/>
      <c r="J39" s="16"/>
      <c r="K39" s="276">
        <f>+K7</f>
        <v>994404360.27501523</v>
      </c>
    </row>
    <row r="40" spans="1:11">
      <c r="A40" s="243">
        <f t="shared" si="0"/>
        <v>28</v>
      </c>
      <c r="B40" s="16" t="s">
        <v>258</v>
      </c>
      <c r="C40" s="16"/>
      <c r="D40" s="16"/>
      <c r="E40" s="16" t="s">
        <v>434</v>
      </c>
      <c r="F40" s="16"/>
      <c r="G40" s="16"/>
      <c r="H40" s="16"/>
      <c r="I40" s="16"/>
      <c r="J40" s="16"/>
      <c r="K40" s="277">
        <f>IF(K39=0,0,K38/K39)</f>
        <v>7.6517473326534226E-3</v>
      </c>
    </row>
    <row r="41" spans="1:11">
      <c r="A41" s="233"/>
      <c r="B41" s="16"/>
      <c r="C41" s="16"/>
      <c r="D41" s="16"/>
      <c r="E41" s="16"/>
      <c r="F41" s="16"/>
      <c r="G41" s="16"/>
      <c r="H41" s="16"/>
      <c r="I41" s="16"/>
      <c r="J41" s="16"/>
      <c r="K41" s="242"/>
    </row>
    <row r="42" spans="1:11" ht="16.5" thickBot="1">
      <c r="A42" s="278" t="s">
        <v>288</v>
      </c>
      <c r="B42" s="16"/>
      <c r="C42" s="16"/>
      <c r="D42" s="16"/>
      <c r="E42" s="16"/>
      <c r="F42" s="16"/>
      <c r="G42" s="16"/>
      <c r="H42" s="16"/>
      <c r="I42" s="16"/>
      <c r="J42" s="16"/>
      <c r="K42" s="242"/>
    </row>
    <row r="43" spans="1:11">
      <c r="A43" s="243" t="s">
        <v>58</v>
      </c>
      <c r="B43" s="233" t="s">
        <v>287</v>
      </c>
      <c r="C43" s="16"/>
      <c r="D43" s="16"/>
      <c r="E43" s="16"/>
      <c r="F43" s="16"/>
      <c r="G43" s="16"/>
      <c r="H43" s="16"/>
      <c r="I43" s="16"/>
      <c r="J43" s="16"/>
      <c r="K43" s="242"/>
    </row>
    <row r="44" spans="1:11">
      <c r="A44" s="243"/>
      <c r="B44" s="16" t="s">
        <v>379</v>
      </c>
      <c r="C44" s="16"/>
      <c r="D44" s="16"/>
      <c r="E44" s="16"/>
      <c r="F44" s="16"/>
      <c r="G44" s="16"/>
      <c r="H44" s="16"/>
      <c r="I44" s="16"/>
      <c r="J44" s="16"/>
      <c r="K44" s="242"/>
    </row>
    <row r="45" spans="1:11">
      <c r="A45" s="243"/>
      <c r="B45" s="16" t="s">
        <v>290</v>
      </c>
      <c r="C45" s="16"/>
      <c r="D45" s="16"/>
      <c r="E45" s="16"/>
      <c r="F45" s="16"/>
      <c r="G45" s="16"/>
      <c r="H45" s="16"/>
      <c r="I45" s="16"/>
      <c r="J45" s="16"/>
      <c r="K45" s="242"/>
    </row>
    <row r="46" spans="1:11">
      <c r="A46" s="243"/>
      <c r="B46" s="16" t="s">
        <v>378</v>
      </c>
      <c r="C46" s="16"/>
      <c r="D46" s="16"/>
      <c r="E46" s="16"/>
      <c r="F46" s="16"/>
      <c r="G46" s="16"/>
      <c r="H46" s="16"/>
      <c r="I46" s="16"/>
      <c r="J46" s="16"/>
      <c r="K46" s="242"/>
    </row>
    <row r="47" spans="1:11">
      <c r="A47" s="243" t="s">
        <v>59</v>
      </c>
      <c r="B47" s="16" t="s">
        <v>289</v>
      </c>
      <c r="C47" s="16"/>
      <c r="D47" s="16"/>
      <c r="E47" s="16"/>
      <c r="F47" s="16"/>
      <c r="G47" s="16"/>
      <c r="H47" s="16"/>
      <c r="I47" s="16"/>
      <c r="J47" s="16"/>
      <c r="K47" s="242"/>
    </row>
    <row r="48" spans="1:11">
      <c r="A48" s="233"/>
      <c r="B48" s="16" t="s">
        <v>971</v>
      </c>
      <c r="C48" s="16"/>
      <c r="D48" s="16"/>
      <c r="E48" s="16"/>
      <c r="F48" s="16"/>
      <c r="G48" s="16"/>
      <c r="H48" s="16"/>
      <c r="I48" s="16"/>
      <c r="J48" s="16"/>
      <c r="K48" s="242"/>
    </row>
    <row r="68" ht="24" customHeight="1"/>
  </sheetData>
  <sheetProtection algorithmName="SHA-512" hashValue="t0d3/9X9gOPNB/Ult6eJm3QPvf2GTdQTtWrU8um2xYcsomDGfEXtU3v94SuILjkzY+wXw2uVCQN+gu4exKn9rg==" saltValue="/hontfKKys8e5CtVpeoBFw==" spinCount="100000" sheet="1" objects="1" scenarios="1"/>
  <phoneticPr fontId="0" type="noConversion"/>
  <pageMargins left="0.7" right="0.7" top="0.75" bottom="0.75" header="0.3" footer="0.3"/>
  <pageSetup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8"/>
  <sheetViews>
    <sheetView view="pageBreakPreview" zoomScale="70" zoomScaleNormal="65" zoomScaleSheetLayoutView="70" workbookViewId="0">
      <selection activeCell="F66" sqref="F66"/>
    </sheetView>
  </sheetViews>
  <sheetFormatPr defaultColWidth="8.88671875" defaultRowHeight="12.75"/>
  <cols>
    <col min="1" max="1" width="6" style="13" customWidth="1"/>
    <col min="2" max="2" width="37.5546875" style="13" customWidth="1"/>
    <col min="3" max="3" width="11.21875" style="13" customWidth="1"/>
    <col min="4" max="4" width="18.6640625" style="13" customWidth="1"/>
    <col min="5" max="5" width="22.21875" style="13" customWidth="1"/>
    <col min="6" max="6" width="15.21875" style="13" customWidth="1"/>
    <col min="7" max="7" width="18.33203125" style="13" customWidth="1"/>
    <col min="8" max="8" width="14.44140625" style="13" customWidth="1"/>
    <col min="9" max="9" width="18.5546875" style="13" customWidth="1"/>
    <col min="10" max="10" width="13.77734375" style="13" customWidth="1"/>
    <col min="11" max="11" width="14.44140625" style="13" customWidth="1"/>
    <col min="12" max="12" width="13.5546875" style="13" customWidth="1"/>
    <col min="13" max="13" width="9.5546875" style="13" bestFit="1" customWidth="1"/>
    <col min="14" max="16384" width="8.88671875" style="13"/>
  </cols>
  <sheetData>
    <row r="1" spans="1:13">
      <c r="A1" s="148"/>
      <c r="B1" s="148"/>
      <c r="C1" s="148"/>
      <c r="D1" s="148"/>
      <c r="E1" s="148"/>
      <c r="F1" s="148"/>
      <c r="G1" s="148"/>
      <c r="H1" s="148"/>
      <c r="I1" s="148"/>
      <c r="J1" s="150" t="s">
        <v>419</v>
      </c>
      <c r="K1" s="148"/>
    </row>
    <row r="2" spans="1:13">
      <c r="A2" s="148"/>
      <c r="B2" s="148"/>
      <c r="C2" s="148"/>
      <c r="D2" s="148"/>
      <c r="E2" s="148"/>
      <c r="F2" s="148"/>
      <c r="G2" s="148"/>
      <c r="H2" s="148"/>
      <c r="I2" s="148"/>
      <c r="J2" s="148"/>
      <c r="K2" s="148"/>
    </row>
    <row r="3" spans="1:13">
      <c r="A3" s="148"/>
      <c r="B3" s="148"/>
      <c r="C3" s="148"/>
      <c r="D3" s="148"/>
      <c r="E3" s="148"/>
      <c r="F3" s="148"/>
      <c r="G3" s="148"/>
      <c r="H3" s="148"/>
      <c r="I3" s="148"/>
      <c r="J3" s="148"/>
      <c r="K3" s="148"/>
    </row>
    <row r="4" spans="1:13">
      <c r="A4" s="148"/>
      <c r="B4" s="148"/>
      <c r="C4" s="148"/>
      <c r="D4" s="148"/>
      <c r="E4" s="148"/>
      <c r="F4" s="148"/>
      <c r="G4" s="148"/>
      <c r="H4" s="148"/>
      <c r="I4" s="148"/>
      <c r="J4" s="148"/>
      <c r="K4" s="148"/>
    </row>
    <row r="5" spans="1:13">
      <c r="A5" s="279"/>
      <c r="B5" s="148"/>
      <c r="C5" s="148"/>
      <c r="D5" s="150"/>
      <c r="E5" s="151" t="s">
        <v>190</v>
      </c>
      <c r="F5" s="150"/>
      <c r="G5" s="150"/>
      <c r="H5" s="148"/>
      <c r="I5" s="150"/>
      <c r="J5" s="150"/>
      <c r="K5" s="150"/>
      <c r="L5" s="1"/>
    </row>
    <row r="6" spans="1:13">
      <c r="A6" s="279"/>
      <c r="B6" s="148"/>
      <c r="C6" s="148"/>
      <c r="D6" s="150"/>
      <c r="E6" s="280" t="s">
        <v>292</v>
      </c>
      <c r="F6" s="155"/>
      <c r="G6" s="155"/>
      <c r="H6" s="148"/>
      <c r="I6" s="155"/>
      <c r="J6" s="155"/>
      <c r="K6" s="155"/>
      <c r="L6" s="1"/>
    </row>
    <row r="7" spans="1:13">
      <c r="A7" s="279"/>
      <c r="B7" s="148"/>
      <c r="C7" s="152"/>
      <c r="D7" s="152"/>
      <c r="E7" s="24" t="str">
        <f>+'2-Incentive ROE'!F5</f>
        <v>PECO Energy Company</v>
      </c>
      <c r="F7" s="152"/>
      <c r="G7" s="152"/>
      <c r="H7" s="148"/>
      <c r="I7" s="152"/>
      <c r="J7" s="152"/>
      <c r="K7" s="152"/>
      <c r="L7" s="2"/>
    </row>
    <row r="8" spans="1:13">
      <c r="A8" s="279"/>
      <c r="B8" s="148"/>
      <c r="C8" s="148"/>
      <c r="D8" s="148"/>
      <c r="E8" s="165"/>
      <c r="F8" s="165"/>
      <c r="G8" s="165"/>
      <c r="H8" s="148"/>
      <c r="I8" s="152"/>
      <c r="J8" s="152"/>
      <c r="K8" s="152"/>
      <c r="L8" s="2"/>
    </row>
    <row r="9" spans="1:13">
      <c r="A9" s="281"/>
      <c r="B9" s="88"/>
      <c r="C9" s="88"/>
      <c r="D9" s="88"/>
      <c r="E9" s="88"/>
      <c r="F9" s="88"/>
      <c r="G9" s="88"/>
      <c r="H9" s="88"/>
      <c r="I9" s="88"/>
      <c r="J9" s="88"/>
      <c r="K9" s="282"/>
      <c r="L9" s="6"/>
    </row>
    <row r="10" spans="1:13">
      <c r="A10" s="281"/>
      <c r="B10" s="88"/>
      <c r="C10" s="88"/>
      <c r="D10" s="1037" t="s">
        <v>417</v>
      </c>
      <c r="E10" s="1038"/>
      <c r="F10" s="283"/>
      <c r="G10" s="284" t="s">
        <v>342</v>
      </c>
      <c r="H10" s="283"/>
      <c r="I10" s="285"/>
      <c r="J10" s="285"/>
      <c r="K10" s="286"/>
    </row>
    <row r="11" spans="1:13" ht="15.75">
      <c r="A11" s="281">
        <v>1</v>
      </c>
      <c r="B11" s="88" t="s">
        <v>416</v>
      </c>
      <c r="C11" s="88"/>
      <c r="D11" s="1039" t="s">
        <v>418</v>
      </c>
      <c r="E11" s="1040"/>
      <c r="F11" s="287" t="s">
        <v>380</v>
      </c>
      <c r="G11" s="288" t="s">
        <v>1267</v>
      </c>
      <c r="H11" s="289" t="s">
        <v>344</v>
      </c>
      <c r="I11" s="290"/>
      <c r="J11" s="290"/>
      <c r="K11" s="291"/>
    </row>
    <row r="12" spans="1:13">
      <c r="A12" s="281">
        <v>2</v>
      </c>
      <c r="B12" s="88"/>
      <c r="C12" s="88"/>
      <c r="D12" s="292"/>
      <c r="E12" s="292"/>
      <c r="F12" s="293"/>
      <c r="G12" s="294"/>
      <c r="H12" s="292"/>
      <c r="I12" s="292"/>
      <c r="J12" s="292"/>
      <c r="K12" s="283"/>
    </row>
    <row r="13" spans="1:13">
      <c r="A13" s="148"/>
      <c r="B13" s="295" t="s">
        <v>58</v>
      </c>
      <c r="C13" s="295" t="s">
        <v>59</v>
      </c>
      <c r="D13" s="288" t="s">
        <v>60</v>
      </c>
      <c r="E13" s="288" t="s">
        <v>61</v>
      </c>
      <c r="F13" s="284" t="s">
        <v>62</v>
      </c>
      <c r="G13" s="295" t="s">
        <v>63</v>
      </c>
      <c r="H13" s="296" t="s">
        <v>64</v>
      </c>
      <c r="I13" s="296" t="s">
        <v>65</v>
      </c>
      <c r="J13" s="296" t="s">
        <v>66</v>
      </c>
      <c r="K13" s="297" t="s">
        <v>67</v>
      </c>
      <c r="M13" s="14"/>
    </row>
    <row r="14" spans="1:13">
      <c r="A14" s="281"/>
      <c r="B14" s="292"/>
      <c r="C14" s="284"/>
      <c r="D14" s="284"/>
      <c r="E14" s="298" t="s">
        <v>381</v>
      </c>
      <c r="F14" s="284"/>
      <c r="G14" s="284"/>
      <c r="H14" s="292"/>
      <c r="I14" s="284"/>
      <c r="J14" s="292"/>
      <c r="K14" s="292"/>
    </row>
    <row r="15" spans="1:13">
      <c r="A15" s="281"/>
      <c r="B15" s="292"/>
      <c r="C15" s="284"/>
      <c r="D15" s="296" t="s">
        <v>412</v>
      </c>
      <c r="E15" s="297" t="s">
        <v>13</v>
      </c>
      <c r="F15" s="296" t="s">
        <v>347</v>
      </c>
      <c r="G15" s="296" t="s">
        <v>411</v>
      </c>
      <c r="H15" s="296" t="s">
        <v>345</v>
      </c>
      <c r="I15" s="296"/>
      <c r="J15" s="296" t="s">
        <v>297</v>
      </c>
      <c r="K15" s="296"/>
    </row>
    <row r="16" spans="1:13" ht="25.5" customHeight="1">
      <c r="A16" s="281"/>
      <c r="B16" s="1035" t="s">
        <v>426</v>
      </c>
      <c r="C16" s="1041" t="s">
        <v>699</v>
      </c>
      <c r="D16" s="296" t="s">
        <v>346</v>
      </c>
      <c r="E16" s="297" t="s">
        <v>382</v>
      </c>
      <c r="F16" s="296" t="s">
        <v>350</v>
      </c>
      <c r="G16" s="296" t="s">
        <v>346</v>
      </c>
      <c r="H16" s="296" t="s">
        <v>303</v>
      </c>
      <c r="I16" s="284" t="s">
        <v>365</v>
      </c>
      <c r="J16" s="296" t="s">
        <v>348</v>
      </c>
      <c r="K16" s="296" t="s">
        <v>383</v>
      </c>
    </row>
    <row r="17" spans="1:13" ht="15.75">
      <c r="A17" s="281"/>
      <c r="B17" s="1036"/>
      <c r="C17" s="1042"/>
      <c r="D17" s="288" t="s">
        <v>349</v>
      </c>
      <c r="E17" s="297" t="s">
        <v>343</v>
      </c>
      <c r="F17" s="299"/>
      <c r="G17" s="288" t="s">
        <v>384</v>
      </c>
      <c r="H17" s="288" t="s">
        <v>413</v>
      </c>
      <c r="I17" s="296" t="s">
        <v>385</v>
      </c>
      <c r="J17" s="288" t="s">
        <v>386</v>
      </c>
      <c r="K17" s="288" t="s">
        <v>414</v>
      </c>
    </row>
    <row r="18" spans="1:13">
      <c r="A18" s="281">
        <v>3</v>
      </c>
      <c r="B18" s="294" t="s">
        <v>447</v>
      </c>
      <c r="C18" s="294" t="s">
        <v>447</v>
      </c>
      <c r="D18" s="996">
        <v>162880138.64824608</v>
      </c>
      <c r="E18" s="997">
        <v>0.82867798586298014</v>
      </c>
      <c r="F18" s="996">
        <v>163487627.09</v>
      </c>
      <c r="G18" s="321">
        <f>'[7]Attachment H-7'!$I$24</f>
        <v>142632751.82457799</v>
      </c>
      <c r="H18" s="996">
        <v>-20854875.265422016</v>
      </c>
      <c r="I18" s="895">
        <v>0</v>
      </c>
      <c r="J18" s="300">
        <f>+'6-True-Up Interest'!G41</f>
        <v>-1547431.7446943137</v>
      </c>
      <c r="K18" s="999">
        <v>-22402307.010116331</v>
      </c>
      <c r="M18" s="1000"/>
    </row>
    <row r="19" spans="1:13">
      <c r="A19" s="215" t="s">
        <v>387</v>
      </c>
      <c r="B19" s="892" t="s">
        <v>1235</v>
      </c>
      <c r="C19" s="892" t="s">
        <v>720</v>
      </c>
      <c r="D19" s="996">
        <v>6756243.2984312074</v>
      </c>
      <c r="E19" s="893">
        <v>3.4373436411637773E-2</v>
      </c>
      <c r="F19" s="996">
        <v>5297646.5600000015</v>
      </c>
      <c r="G19" s="321">
        <f>'[7]1-Project Rev Req'!T67</f>
        <v>4906343.531498298</v>
      </c>
      <c r="H19" s="996">
        <v>-391303.0285017034</v>
      </c>
      <c r="I19" s="893">
        <v>0</v>
      </c>
      <c r="J19" s="300">
        <f>+'6-True-Up Interest'!G42</f>
        <v>-29034.684714826395</v>
      </c>
      <c r="K19" s="999">
        <v>-420337.71321652981</v>
      </c>
      <c r="M19" s="1000"/>
    </row>
    <row r="20" spans="1:13">
      <c r="A20" s="215" t="s">
        <v>388</v>
      </c>
      <c r="B20" s="892" t="s">
        <v>1235</v>
      </c>
      <c r="C20" s="892" t="s">
        <v>720</v>
      </c>
      <c r="D20" s="996">
        <v>882294.20917428425</v>
      </c>
      <c r="E20" s="893">
        <v>4.4888087293201099E-3</v>
      </c>
      <c r="F20" s="996">
        <v>2315583.3400000003</v>
      </c>
      <c r="G20" s="321">
        <f>'[7]1-Project Rev Req'!T68</f>
        <v>774571.43620914978</v>
      </c>
      <c r="H20" s="996">
        <v>-1541011.9037908507</v>
      </c>
      <c r="I20" s="893">
        <v>0</v>
      </c>
      <c r="J20" s="300">
        <f>+'6-True-Up Interest'!G43</f>
        <v>-114343.08326128112</v>
      </c>
      <c r="K20" s="999">
        <v>-1655354.9870521317</v>
      </c>
      <c r="M20" s="1000"/>
    </row>
    <row r="21" spans="1:13">
      <c r="A21" s="215" t="s">
        <v>389</v>
      </c>
      <c r="B21" s="892" t="s">
        <v>803</v>
      </c>
      <c r="C21" s="892" t="s">
        <v>722</v>
      </c>
      <c r="D21" s="996">
        <v>735439.84105925821</v>
      </c>
      <c r="E21" s="893">
        <v>3.7416643383913211E-3</v>
      </c>
      <c r="F21" s="996">
        <v>663817.95000000007</v>
      </c>
      <c r="G21" s="321">
        <f>'[7]1-Project Rev Req'!T69</f>
        <v>-206191.35987829912</v>
      </c>
      <c r="H21" s="996">
        <v>-870009.30987829925</v>
      </c>
      <c r="I21" s="893">
        <v>0</v>
      </c>
      <c r="J21" s="300">
        <f>+'6-True-Up Interest'!G44</f>
        <v>-64554.690792969806</v>
      </c>
      <c r="K21" s="999">
        <v>-934564.00067126902</v>
      </c>
      <c r="M21" s="1000"/>
    </row>
    <row r="22" spans="1:13">
      <c r="A22" s="215" t="s">
        <v>821</v>
      </c>
      <c r="B22" s="892" t="s">
        <v>803</v>
      </c>
      <c r="C22" s="892" t="s">
        <v>1643</v>
      </c>
      <c r="D22" s="996">
        <v>245146.61368641935</v>
      </c>
      <c r="E22" s="893">
        <v>1.2472214461304401E-3</v>
      </c>
      <c r="F22" s="996">
        <v>254119.91000000003</v>
      </c>
      <c r="G22" s="321">
        <f>'[7]1-Project Rev Req'!T70</f>
        <v>296775.19526723376</v>
      </c>
      <c r="H22" s="996">
        <v>42655.285267233732</v>
      </c>
      <c r="I22" s="893">
        <v>0</v>
      </c>
      <c r="J22" s="300">
        <f>+'6-True-Up Interest'!G45</f>
        <v>3165.0221668287431</v>
      </c>
      <c r="K22" s="999">
        <v>45820.307434062473</v>
      </c>
      <c r="M22" s="1000"/>
    </row>
    <row r="23" spans="1:13">
      <c r="A23" s="215" t="s">
        <v>822</v>
      </c>
      <c r="B23" s="892" t="s">
        <v>804</v>
      </c>
      <c r="C23" s="892" t="s">
        <v>723</v>
      </c>
      <c r="D23" s="996">
        <v>474738.53619456571</v>
      </c>
      <c r="E23" s="893">
        <v>2.4153059866608142E-3</v>
      </c>
      <c r="F23" s="996">
        <v>473078.77999999991</v>
      </c>
      <c r="G23" s="321">
        <f>'[7]1-Project Rev Req'!T71</f>
        <v>367088.75862266374</v>
      </c>
      <c r="H23" s="996">
        <v>-105990.02137733618</v>
      </c>
      <c r="I23" s="893">
        <v>0</v>
      </c>
      <c r="J23" s="300">
        <f>+'6-True-Up Interest'!G46</f>
        <v>-7864.4595861983453</v>
      </c>
      <c r="K23" s="999">
        <v>-113854.48096353452</v>
      </c>
      <c r="M23" s="1000"/>
    </row>
    <row r="24" spans="1:13">
      <c r="A24" s="215" t="s">
        <v>823</v>
      </c>
      <c r="B24" s="892" t="s">
        <v>805</v>
      </c>
      <c r="C24" s="892" t="s">
        <v>724</v>
      </c>
      <c r="D24" s="996">
        <v>639847.90394802857</v>
      </c>
      <c r="E24" s="893">
        <v>3.2553255215933686E-3</v>
      </c>
      <c r="F24" s="996">
        <v>637066.2200000002</v>
      </c>
      <c r="G24" s="321">
        <f>'[7]1-Project Rev Req'!T72</f>
        <v>490576.94711362058</v>
      </c>
      <c r="H24" s="996">
        <v>-146489.27288637962</v>
      </c>
      <c r="I24" s="893">
        <v>0</v>
      </c>
      <c r="J24" s="300">
        <f>+'6-True-Up Interest'!G47</f>
        <v>-10869.504048169369</v>
      </c>
      <c r="K24" s="999">
        <v>-157358.77693454898</v>
      </c>
      <c r="M24" s="1000"/>
    </row>
    <row r="25" spans="1:13">
      <c r="A25" s="215" t="s">
        <v>824</v>
      </c>
      <c r="B25" s="892" t="s">
        <v>806</v>
      </c>
      <c r="C25" s="892" t="s">
        <v>802</v>
      </c>
      <c r="D25" s="996">
        <v>2188057.0818003179</v>
      </c>
      <c r="E25" s="893">
        <v>1.1132080010167907E-2</v>
      </c>
      <c r="F25" s="996">
        <v>2244497.5300000003</v>
      </c>
      <c r="G25" s="321">
        <f>'[7]1-Project Rev Req'!T73</f>
        <v>2250204.6563650691</v>
      </c>
      <c r="H25" s="996">
        <v>5707.1263650688343</v>
      </c>
      <c r="I25" s="893">
        <v>0</v>
      </c>
      <c r="J25" s="300">
        <f>+'6-True-Up Interest'!G48</f>
        <v>423.46877628810756</v>
      </c>
      <c r="K25" s="999">
        <v>6130.5951413569419</v>
      </c>
      <c r="M25" s="1000"/>
    </row>
    <row r="26" spans="1:13">
      <c r="A26" s="215" t="s">
        <v>825</v>
      </c>
      <c r="B26" s="892" t="s">
        <v>917</v>
      </c>
      <c r="C26" s="892" t="s">
        <v>918</v>
      </c>
      <c r="D26" s="996">
        <v>4796812.7509493344</v>
      </c>
      <c r="E26" s="893">
        <v>2.440452937974804E-2</v>
      </c>
      <c r="F26" s="996">
        <v>4927933.95</v>
      </c>
      <c r="G26" s="321">
        <f>'[7]1-Project Rev Req'!T74</f>
        <v>5866717.2196773663</v>
      </c>
      <c r="H26" s="996">
        <v>938783.26967736613</v>
      </c>
      <c r="I26" s="893">
        <v>0</v>
      </c>
      <c r="J26" s="300">
        <f>+'6-True-Up Interest'!G49</f>
        <v>69657.718610060576</v>
      </c>
      <c r="K26" s="999">
        <v>1008440.9882874268</v>
      </c>
      <c r="M26" s="1000"/>
    </row>
    <row r="27" spans="1:13">
      <c r="A27" s="215" t="s">
        <v>826</v>
      </c>
      <c r="B27" s="892" t="s">
        <v>807</v>
      </c>
      <c r="C27" s="892" t="s">
        <v>725</v>
      </c>
      <c r="D27" s="996">
        <v>2945771.99562902</v>
      </c>
      <c r="E27" s="893">
        <v>1.4987072238569181E-2</v>
      </c>
      <c r="F27" s="996">
        <v>2945211.95</v>
      </c>
      <c r="G27" s="321">
        <f>'[7]1-Project Rev Req'!T75</f>
        <v>2065574.8562331186</v>
      </c>
      <c r="H27" s="996">
        <v>-879637.09376688162</v>
      </c>
      <c r="I27" s="893">
        <v>0</v>
      </c>
      <c r="J27" s="300">
        <f>+'6-True-Up Interest'!G50</f>
        <v>-65269.07235750262</v>
      </c>
      <c r="K27" s="999">
        <v>-944906.16612438427</v>
      </c>
      <c r="M27" s="1000"/>
    </row>
    <row r="28" spans="1:13" ht="12.75" customHeight="1">
      <c r="A28" s="215" t="s">
        <v>827</v>
      </c>
      <c r="B28" s="892" t="s">
        <v>808</v>
      </c>
      <c r="C28" s="892" t="s">
        <v>726</v>
      </c>
      <c r="D28" s="996">
        <v>2690817.9838898126</v>
      </c>
      <c r="E28" s="893">
        <v>1.3689954132647135E-2</v>
      </c>
      <c r="F28" s="996">
        <v>2684828.3100000005</v>
      </c>
      <c r="G28" s="321">
        <f>'[7]1-Project Rev Req'!T76</f>
        <v>1988670.5918898364</v>
      </c>
      <c r="H28" s="996">
        <v>-696157.71811016416</v>
      </c>
      <c r="I28" s="893">
        <v>0</v>
      </c>
      <c r="J28" s="300">
        <f>+'6-True-Up Interest'!G51</f>
        <v>-51654.902683774184</v>
      </c>
      <c r="K28" s="999">
        <v>-747812.6207939384</v>
      </c>
      <c r="M28" s="1000"/>
    </row>
    <row r="29" spans="1:13">
      <c r="A29" s="215" t="s">
        <v>828</v>
      </c>
      <c r="B29" s="892" t="s">
        <v>809</v>
      </c>
      <c r="C29" s="892" t="s">
        <v>727</v>
      </c>
      <c r="D29" s="996">
        <v>2746065.0881683328</v>
      </c>
      <c r="E29" s="893">
        <v>1.3971032350520933E-2</v>
      </c>
      <c r="F29" s="996">
        <v>2739628.87</v>
      </c>
      <c r="G29" s="321">
        <f>'[7]1-Project Rev Req'!T77</f>
        <v>2096027.9329513435</v>
      </c>
      <c r="H29" s="996">
        <v>-643600.93704865663</v>
      </c>
      <c r="I29" s="893">
        <v>0</v>
      </c>
      <c r="J29" s="300">
        <f>+'6-True-Up Interest'!G52</f>
        <v>-47755.189529010328</v>
      </c>
      <c r="K29" s="999">
        <v>-691356.12657766696</v>
      </c>
      <c r="M29" s="1000"/>
    </row>
    <row r="30" spans="1:13">
      <c r="A30" s="215" t="s">
        <v>829</v>
      </c>
      <c r="B30" s="892" t="s">
        <v>810</v>
      </c>
      <c r="C30" s="892" t="s">
        <v>728</v>
      </c>
      <c r="D30" s="996">
        <v>1782467.4530592288</v>
      </c>
      <c r="E30" s="893">
        <v>9.0685798227207199E-3</v>
      </c>
      <c r="F30" s="996">
        <v>1778033.1499999997</v>
      </c>
      <c r="G30" s="321">
        <f>'[7]1-Project Rev Req'!T78</f>
        <v>1311709.0786900988</v>
      </c>
      <c r="H30" s="996">
        <v>-466324.07130990084</v>
      </c>
      <c r="I30" s="893">
        <v>0</v>
      </c>
      <c r="J30" s="300">
        <f>+'6-True-Up Interest'!G53</f>
        <v>-34601.246091194647</v>
      </c>
      <c r="K30" s="999">
        <v>-500925.31740109547</v>
      </c>
      <c r="M30" s="1000"/>
    </row>
    <row r="31" spans="1:13">
      <c r="A31" s="215" t="s">
        <v>830</v>
      </c>
      <c r="B31" s="892" t="s">
        <v>811</v>
      </c>
      <c r="C31" s="892" t="s">
        <v>729</v>
      </c>
      <c r="D31" s="996">
        <v>1251556.6700393222</v>
      </c>
      <c r="E31" s="893">
        <v>6.3674888118885574E-3</v>
      </c>
      <c r="F31" s="996">
        <v>1247275.0799999998</v>
      </c>
      <c r="G31" s="321">
        <f>'[7]1-Project Rev Req'!T79</f>
        <v>952304.31007343519</v>
      </c>
      <c r="H31" s="996">
        <v>-294970.76992656465</v>
      </c>
      <c r="I31" s="893">
        <v>0</v>
      </c>
      <c r="J31" s="300">
        <f>+'6-True-Up Interest'!G54</f>
        <v>-21886.831128551101</v>
      </c>
      <c r="K31" s="999">
        <v>-316857.60105511575</v>
      </c>
      <c r="M31" s="1000"/>
    </row>
    <row r="32" spans="1:13">
      <c r="A32" s="215" t="s">
        <v>1647</v>
      </c>
      <c r="B32" s="892" t="s">
        <v>812</v>
      </c>
      <c r="C32" s="892" t="s">
        <v>730</v>
      </c>
      <c r="D32" s="996">
        <v>265191.74624229473</v>
      </c>
      <c r="E32" s="893">
        <v>1.3492041691967071E-3</v>
      </c>
      <c r="F32" s="996">
        <v>264288.37</v>
      </c>
      <c r="G32" s="321">
        <f>'[7]1-Project Rev Req'!T80</f>
        <v>202227.44027613185</v>
      </c>
      <c r="H32" s="996">
        <v>-62060.929723868147</v>
      </c>
      <c r="I32" s="893">
        <v>0</v>
      </c>
      <c r="J32" s="300">
        <f>+'6-True-Up Interest'!G55</f>
        <v>-4604.9209855110166</v>
      </c>
      <c r="K32" s="999">
        <v>-66665.850709379156</v>
      </c>
      <c r="M32" s="1000"/>
    </row>
    <row r="33" spans="1:13">
      <c r="A33" s="215" t="s">
        <v>831</v>
      </c>
      <c r="B33" s="892" t="s">
        <v>813</v>
      </c>
      <c r="C33" s="892" t="s">
        <v>731</v>
      </c>
      <c r="D33" s="996">
        <v>331812.31959832303</v>
      </c>
      <c r="E33" s="893">
        <v>1.6881466762689464E-3</v>
      </c>
      <c r="F33" s="996">
        <v>330403.71000000008</v>
      </c>
      <c r="G33" s="321">
        <f>'[7]1-Project Rev Req'!T81</f>
        <v>252285.58510175557</v>
      </c>
      <c r="H33" s="996">
        <v>-78118.12489824451</v>
      </c>
      <c r="I33" s="893">
        <v>0</v>
      </c>
      <c r="J33" s="300">
        <f>+'6-True-Up Interest'!G56</f>
        <v>-5796.3648674497435</v>
      </c>
      <c r="K33" s="999">
        <v>-83914.489765694248</v>
      </c>
      <c r="M33" s="1000"/>
    </row>
    <row r="34" spans="1:13">
      <c r="A34" s="215" t="s">
        <v>832</v>
      </c>
      <c r="B34" s="892" t="s">
        <v>1047</v>
      </c>
      <c r="C34" s="892" t="s">
        <v>732</v>
      </c>
      <c r="D34" s="996">
        <v>371342.74958606169</v>
      </c>
      <c r="E34" s="893">
        <v>1.8892638743165278E-3</v>
      </c>
      <c r="F34" s="996">
        <v>369948.66</v>
      </c>
      <c r="G34" s="321">
        <f>'[7]1-Project Rev Req'!T82</f>
        <v>285874.37678124569</v>
      </c>
      <c r="H34" s="996">
        <v>-84074.283218754281</v>
      </c>
      <c r="I34" s="893">
        <v>0</v>
      </c>
      <c r="J34" s="300">
        <f>+'6-True-Up Interest'!G57</f>
        <v>-6238.311814831568</v>
      </c>
      <c r="K34" s="999">
        <v>-90312.595033585851</v>
      </c>
      <c r="M34" s="1000"/>
    </row>
    <row r="35" spans="1:13">
      <c r="A35" s="215" t="s">
        <v>833</v>
      </c>
      <c r="B35" s="892" t="s">
        <v>812</v>
      </c>
      <c r="C35" s="892" t="s">
        <v>733</v>
      </c>
      <c r="D35" s="996">
        <v>363012.3395647516</v>
      </c>
      <c r="E35" s="893">
        <v>1.8468816203771438E-3</v>
      </c>
      <c r="F35" s="996">
        <v>361746.56000000006</v>
      </c>
      <c r="G35" s="321">
        <f>'[7]1-Project Rev Req'!T83</f>
        <v>276920.64973693067</v>
      </c>
      <c r="H35" s="996">
        <v>-84825.910263069381</v>
      </c>
      <c r="I35" s="893">
        <v>0</v>
      </c>
      <c r="J35" s="300">
        <f>+'6-True-Up Interest'!G58</f>
        <v>-6294.0825415197487</v>
      </c>
      <c r="K35" s="999">
        <v>-91119.992804589128</v>
      </c>
      <c r="M35" s="1000"/>
    </row>
    <row r="36" spans="1:13">
      <c r="A36" s="215" t="s">
        <v>834</v>
      </c>
      <c r="B36" s="892" t="s">
        <v>814</v>
      </c>
      <c r="C36" s="892" t="s">
        <v>734</v>
      </c>
      <c r="D36" s="996">
        <v>495601.62566474092</v>
      </c>
      <c r="E36" s="893">
        <v>2.5214501924829898E-3</v>
      </c>
      <c r="F36" s="996">
        <v>493472.43000000011</v>
      </c>
      <c r="G36" s="321">
        <f>'[7]1-Project Rev Req'!T84</f>
        <v>385435.89480882278</v>
      </c>
      <c r="H36" s="996">
        <v>-108036.53519117733</v>
      </c>
      <c r="I36" s="893">
        <v>0</v>
      </c>
      <c r="J36" s="300">
        <f>+'6-True-Up Interest'!G59</f>
        <v>-8016.3109111853591</v>
      </c>
      <c r="K36" s="999">
        <v>-116052.84610236269</v>
      </c>
      <c r="M36" s="1000"/>
    </row>
    <row r="37" spans="1:13">
      <c r="A37" s="215" t="s">
        <v>835</v>
      </c>
      <c r="B37" s="892" t="s">
        <v>815</v>
      </c>
      <c r="C37" s="892" t="s">
        <v>735</v>
      </c>
      <c r="D37" s="996">
        <v>667605.55388090399</v>
      </c>
      <c r="E37" s="893">
        <v>3.3965468738684922E-3</v>
      </c>
      <c r="F37" s="996">
        <v>664875.10000000009</v>
      </c>
      <c r="G37" s="321">
        <f>'[7]1-Project Rev Req'!T85</f>
        <v>518436.45079918602</v>
      </c>
      <c r="H37" s="996">
        <v>-146438.64920081408</v>
      </c>
      <c r="I37" s="893">
        <v>0</v>
      </c>
      <c r="J37" s="300">
        <f>+'6-True-Up Interest'!G60</f>
        <v>-10865.747770700404</v>
      </c>
      <c r="K37" s="999">
        <v>-157304.39697151448</v>
      </c>
      <c r="M37" s="1000"/>
    </row>
    <row r="38" spans="1:13">
      <c r="A38" s="215" t="s">
        <v>1642</v>
      </c>
      <c r="B38" s="892" t="s">
        <v>816</v>
      </c>
      <c r="C38" s="892" t="s">
        <v>737</v>
      </c>
      <c r="D38" s="996">
        <v>378186.04370144312</v>
      </c>
      <c r="E38" s="893">
        <v>1.9240801952704843E-3</v>
      </c>
      <c r="F38" s="996">
        <v>376684.79999999999</v>
      </c>
      <c r="G38" s="321">
        <f>'[7]1-Project Rev Req'!T86</f>
        <v>293430.25205795758</v>
      </c>
      <c r="H38" s="996">
        <v>-83254.547942042409</v>
      </c>
      <c r="I38" s="893">
        <v>0</v>
      </c>
      <c r="J38" s="300">
        <f>+'6-True-Up Interest'!G61</f>
        <v>-6177.4874572995468</v>
      </c>
      <c r="K38" s="999">
        <v>-89432.035399341956</v>
      </c>
      <c r="M38" s="1000"/>
    </row>
    <row r="39" spans="1:13">
      <c r="A39" s="215" t="s">
        <v>836</v>
      </c>
      <c r="B39" s="892" t="s">
        <v>1048</v>
      </c>
      <c r="C39" s="892" t="s">
        <v>1659</v>
      </c>
      <c r="D39" s="996">
        <v>316077.96362168423</v>
      </c>
      <c r="E39" s="893">
        <v>1.6080956981215713E-3</v>
      </c>
      <c r="F39" s="996">
        <v>314786.56000000011</v>
      </c>
      <c r="G39" s="321">
        <f>'[7]1-Project Rev Req'!T87</f>
        <v>243703.71798245361</v>
      </c>
      <c r="H39" s="996">
        <v>-71082.8420175465</v>
      </c>
      <c r="I39" s="893">
        <v>0</v>
      </c>
      <c r="J39" s="300">
        <f>+'6-True-Up Interest'!G62</f>
        <v>-5274.3468777019507</v>
      </c>
      <c r="K39" s="999">
        <v>-76357.188895248444</v>
      </c>
      <c r="M39" s="1000"/>
    </row>
    <row r="40" spans="1:13">
      <c r="A40" s="215" t="s">
        <v>837</v>
      </c>
      <c r="B40" s="892" t="s">
        <v>817</v>
      </c>
      <c r="C40" s="892" t="s">
        <v>738</v>
      </c>
      <c r="D40" s="996">
        <v>314952.75846255128</v>
      </c>
      <c r="E40" s="893">
        <v>1.6023710422323311E-3</v>
      </c>
      <c r="F40" s="996">
        <v>314437.42</v>
      </c>
      <c r="G40" s="321">
        <f>'[7]1-Project Rev Req'!T88</f>
        <v>226035.56089855407</v>
      </c>
      <c r="H40" s="996">
        <v>-88401.859101445909</v>
      </c>
      <c r="I40" s="893">
        <v>0</v>
      </c>
      <c r="J40" s="300">
        <f>+'6-True-Up Interest'!G63</f>
        <v>-6559.4179453272873</v>
      </c>
      <c r="K40" s="999">
        <v>-94961.27704677319</v>
      </c>
      <c r="M40" s="1000"/>
    </row>
    <row r="41" spans="1:13">
      <c r="A41" s="215" t="s">
        <v>838</v>
      </c>
      <c r="B41" s="892" t="s">
        <v>1236</v>
      </c>
      <c r="C41" s="892" t="s">
        <v>721</v>
      </c>
      <c r="D41" s="996">
        <v>800827.77572171763</v>
      </c>
      <c r="E41" s="893">
        <v>4.0743356047932087E-3</v>
      </c>
      <c r="F41" s="996">
        <v>829979.68</v>
      </c>
      <c r="G41" s="321">
        <f>'[7]1-Project Rev Req'!T89</f>
        <v>969841.47328782803</v>
      </c>
      <c r="H41" s="996">
        <v>139861.79328782798</v>
      </c>
      <c r="I41" s="893">
        <v>0</v>
      </c>
      <c r="J41" s="300">
        <f>+'6-True-Up Interest'!G64</f>
        <v>10377.745061956837</v>
      </c>
      <c r="K41" s="999">
        <v>150239.53834978482</v>
      </c>
      <c r="M41" s="1000"/>
    </row>
    <row r="42" spans="1:13">
      <c r="A42" s="215" t="s">
        <v>839</v>
      </c>
      <c r="B42" s="892" t="s">
        <v>1237</v>
      </c>
      <c r="C42" s="892" t="s">
        <v>736</v>
      </c>
      <c r="D42" s="996">
        <v>598700.693825264</v>
      </c>
      <c r="E42" s="893">
        <v>3.045982703669751E-3</v>
      </c>
      <c r="F42" s="996">
        <v>619768.58999999985</v>
      </c>
      <c r="G42" s="321">
        <f>'[7]1-Project Rev Req'!T90</f>
        <v>726606.63909184968</v>
      </c>
      <c r="H42" s="996">
        <v>106838.04909184983</v>
      </c>
      <c r="I42" s="893">
        <v>0</v>
      </c>
      <c r="J42" s="300">
        <f>+'6-True-Up Interest'!G65</f>
        <v>7927.3832426152585</v>
      </c>
      <c r="K42" s="999">
        <v>114765.43233446509</v>
      </c>
      <c r="M42" s="1000"/>
    </row>
    <row r="43" spans="1:13">
      <c r="A43" s="215" t="s">
        <v>840</v>
      </c>
      <c r="B43" s="892" t="s">
        <v>1640</v>
      </c>
      <c r="C43" s="892" t="s">
        <v>1641</v>
      </c>
      <c r="D43" s="996">
        <v>635490.45159396029</v>
      </c>
      <c r="E43" s="893">
        <v>3.2331563064255126E-3</v>
      </c>
      <c r="F43" s="998">
        <v>370702.77999999997</v>
      </c>
      <c r="G43" s="321">
        <f>'[7]1-Project Rev Req'!T91</f>
        <v>1551917.6516655439</v>
      </c>
      <c r="H43" s="996">
        <v>1181214.8716655439</v>
      </c>
      <c r="I43" s="893">
        <v>0</v>
      </c>
      <c r="J43" s="300">
        <f>+'6-True-Up Interest'!G66</f>
        <v>87646.143477583362</v>
      </c>
      <c r="K43" s="999">
        <v>1268861.0151431272</v>
      </c>
      <c r="M43" s="1000"/>
    </row>
    <row r="44" spans="1:13" ht="13.5" customHeight="1">
      <c r="A44" s="1005" t="s">
        <v>1658</v>
      </c>
      <c r="B44" s="892" t="s">
        <v>1656</v>
      </c>
      <c r="C44" s="892" t="s">
        <v>1657</v>
      </c>
      <c r="D44" s="996">
        <v>0</v>
      </c>
      <c r="E44" s="893">
        <v>0</v>
      </c>
      <c r="F44" s="998">
        <v>0</v>
      </c>
      <c r="G44" s="321">
        <f>'[7]1-Project Rev Req'!T92</f>
        <v>54930.907637597746</v>
      </c>
      <c r="H44" s="996">
        <v>54930.907637597746</v>
      </c>
      <c r="I44" s="893">
        <v>0</v>
      </c>
      <c r="J44" s="300">
        <f>+'6-True-Up Interest'!G67</f>
        <v>4075.8733467097532</v>
      </c>
      <c r="K44" s="999">
        <v>59006.780984307501</v>
      </c>
      <c r="M44" s="1000"/>
    </row>
    <row r="45" spans="1:13" ht="13.5" customHeight="1">
      <c r="A45" s="281"/>
      <c r="B45" s="892"/>
      <c r="C45" s="892"/>
      <c r="D45" s="894"/>
      <c r="E45" s="893"/>
      <c r="F45" s="893"/>
      <c r="G45" s="322"/>
      <c r="H45" s="896"/>
      <c r="I45" s="893"/>
      <c r="J45" s="301"/>
      <c r="K45" s="897"/>
      <c r="M45" s="1000"/>
    </row>
    <row r="46" spans="1:13">
      <c r="A46" s="281"/>
      <c r="B46" s="892"/>
      <c r="C46" s="892"/>
      <c r="D46" s="894"/>
      <c r="E46" s="893"/>
      <c r="F46" s="893"/>
      <c r="G46" s="322"/>
      <c r="H46" s="896"/>
      <c r="I46" s="893"/>
      <c r="J46" s="301"/>
      <c r="K46" s="897"/>
      <c r="M46" s="1000"/>
    </row>
    <row r="47" spans="1:13">
      <c r="A47" s="281"/>
      <c r="B47" s="302"/>
      <c r="C47" s="302"/>
      <c r="D47" s="303"/>
      <c r="E47" s="304"/>
      <c r="F47" s="302"/>
      <c r="G47" s="305"/>
      <c r="H47" s="306"/>
      <c r="I47" s="302"/>
      <c r="J47" s="302"/>
      <c r="K47" s="302"/>
      <c r="M47" s="1000"/>
    </row>
    <row r="48" spans="1:13">
      <c r="A48" s="281">
        <v>4</v>
      </c>
      <c r="B48" s="88" t="s">
        <v>359</v>
      </c>
      <c r="C48" s="88"/>
      <c r="D48" s="32">
        <f>SUM(D18:D47)</f>
        <v>196554200.09573889</v>
      </c>
      <c r="E48" s="307">
        <f>SUM(E18:E47)</f>
        <v>1</v>
      </c>
      <c r="F48" s="32">
        <f>SUM(F18:F47)</f>
        <v>197007443.35000002</v>
      </c>
      <c r="G48" s="32">
        <f>SUM(G18:G47)</f>
        <v>171780771.57941681</v>
      </c>
      <c r="H48" s="32">
        <f>SUM(H18:H47)</f>
        <v>-25226671.770583227</v>
      </c>
      <c r="I48" s="32"/>
      <c r="J48" s="32">
        <f>SUM(J18:J47)</f>
        <v>-1871819.0453772757</v>
      </c>
      <c r="K48" s="32">
        <f>SUM(K18:K47)</f>
        <v>-27098490.815960508</v>
      </c>
      <c r="M48" s="32"/>
    </row>
    <row r="49" spans="1:12">
      <c r="A49" s="281"/>
      <c r="B49" s="88"/>
      <c r="C49" s="88"/>
      <c r="D49" s="307"/>
      <c r="E49" s="307"/>
      <c r="F49" s="307"/>
      <c r="G49" s="307"/>
      <c r="H49" s="307"/>
      <c r="I49" s="307"/>
      <c r="J49" s="307"/>
      <c r="K49" s="307"/>
    </row>
    <row r="50" spans="1:12">
      <c r="A50" s="281"/>
      <c r="B50" s="88"/>
      <c r="C50" s="88"/>
      <c r="D50" s="307"/>
      <c r="E50" s="307"/>
      <c r="F50" s="307"/>
      <c r="G50" s="307" t="s">
        <v>351</v>
      </c>
      <c r="H50" s="307"/>
      <c r="I50" s="307"/>
      <c r="J50" s="307">
        <f>'6-True-Up Interest'!E26</f>
        <v>4.3647058823529416E-3</v>
      </c>
      <c r="K50" s="307"/>
    </row>
    <row r="51" spans="1:12">
      <c r="A51" s="281"/>
      <c r="B51" s="88"/>
      <c r="C51" s="88"/>
      <c r="D51" s="307"/>
      <c r="E51" s="307"/>
      <c r="F51" s="307"/>
      <c r="G51" s="307" t="s">
        <v>352</v>
      </c>
      <c r="H51" s="307"/>
      <c r="I51" s="307"/>
      <c r="J51" s="32">
        <f>+J48</f>
        <v>-1871819.0453772757</v>
      </c>
      <c r="K51" s="307"/>
    </row>
    <row r="52" spans="1:12">
      <c r="A52" s="281"/>
      <c r="B52" s="308" t="s">
        <v>182</v>
      </c>
      <c r="C52" s="88"/>
      <c r="D52" s="88"/>
      <c r="E52" s="88"/>
      <c r="F52" s="88"/>
      <c r="G52" s="88"/>
      <c r="H52" s="88"/>
      <c r="I52" s="88"/>
      <c r="J52" s="88"/>
      <c r="K52" s="88"/>
      <c r="L52" s="6"/>
    </row>
    <row r="53" spans="1:12">
      <c r="A53" s="281"/>
      <c r="B53" s="88" t="s">
        <v>1143</v>
      </c>
      <c r="C53" s="88"/>
      <c r="D53" s="88"/>
      <c r="E53" s="88"/>
      <c r="F53" s="88"/>
      <c r="G53" s="88"/>
      <c r="H53" s="88"/>
      <c r="I53" s="88"/>
      <c r="J53" s="88"/>
      <c r="K53" s="88"/>
      <c r="L53" s="6"/>
    </row>
    <row r="54" spans="1:12">
      <c r="A54" s="281"/>
      <c r="B54" s="88" t="s">
        <v>1279</v>
      </c>
      <c r="C54" s="88"/>
      <c r="D54" s="88"/>
      <c r="E54" s="88"/>
      <c r="F54" s="88"/>
      <c r="G54" s="88"/>
      <c r="H54" s="88"/>
      <c r="I54" s="88"/>
      <c r="J54" s="88"/>
      <c r="K54" s="88"/>
      <c r="L54" s="6"/>
    </row>
    <row r="55" spans="1:12">
      <c r="A55" s="281"/>
      <c r="B55" s="88" t="s">
        <v>1184</v>
      </c>
      <c r="C55" s="88"/>
      <c r="D55" s="88"/>
      <c r="E55" s="88"/>
      <c r="F55" s="88"/>
      <c r="G55" s="88"/>
      <c r="H55" s="88"/>
      <c r="I55" s="88"/>
      <c r="J55" s="88"/>
      <c r="K55" s="88"/>
      <c r="L55" s="6"/>
    </row>
    <row r="56" spans="1:12">
      <c r="A56" s="281"/>
      <c r="B56" s="148" t="s">
        <v>1185</v>
      </c>
      <c r="C56" s="88"/>
      <c r="D56" s="88"/>
      <c r="E56" s="88"/>
      <c r="F56" s="88"/>
      <c r="G56" s="88"/>
      <c r="H56" s="88"/>
      <c r="I56" s="88"/>
      <c r="J56" s="88"/>
      <c r="K56" s="88"/>
      <c r="L56" s="6"/>
    </row>
    <row r="57" spans="1:12">
      <c r="A57" s="281"/>
      <c r="B57" s="148"/>
      <c r="C57" s="88"/>
      <c r="D57" s="88"/>
      <c r="E57" s="88"/>
      <c r="F57" s="88"/>
      <c r="G57" s="88"/>
      <c r="H57" s="88"/>
      <c r="I57" s="88"/>
      <c r="J57" s="88"/>
      <c r="K57" s="88"/>
      <c r="L57" s="6"/>
    </row>
    <row r="58" spans="1:12">
      <c r="A58" s="281"/>
      <c r="B58" s="88" t="s">
        <v>409</v>
      </c>
      <c r="C58" s="88"/>
      <c r="D58" s="88"/>
      <c r="E58" s="88"/>
      <c r="F58" s="88"/>
      <c r="G58" s="88"/>
      <c r="H58" s="88"/>
      <c r="I58" s="88"/>
      <c r="J58" s="88"/>
      <c r="K58" s="88"/>
      <c r="L58" s="6"/>
    </row>
    <row r="59" spans="1:12">
      <c r="A59" s="281"/>
      <c r="B59" s="12" t="s">
        <v>415</v>
      </c>
      <c r="C59" s="88"/>
      <c r="D59" s="88"/>
      <c r="E59" s="88"/>
      <c r="F59" s="88"/>
      <c r="G59" s="88"/>
      <c r="H59" s="88"/>
      <c r="I59" s="88"/>
      <c r="J59" s="88"/>
      <c r="K59" s="88"/>
      <c r="L59" s="6"/>
    </row>
    <row r="60" spans="1:12">
      <c r="A60" s="281"/>
      <c r="B60" s="148"/>
      <c r="C60" s="148"/>
      <c r="D60" s="148"/>
      <c r="E60" s="148"/>
      <c r="F60" s="148"/>
      <c r="G60" s="148"/>
      <c r="H60" s="148"/>
      <c r="I60" s="148"/>
      <c r="J60" s="88"/>
      <c r="K60" s="88"/>
      <c r="L60" s="6"/>
    </row>
    <row r="61" spans="1:12">
      <c r="A61" s="281"/>
      <c r="B61" s="148"/>
      <c r="C61" s="88"/>
      <c r="D61" s="88"/>
      <c r="E61" s="88"/>
      <c r="F61" s="88"/>
      <c r="G61" s="88"/>
      <c r="H61" s="88"/>
      <c r="I61" s="88"/>
      <c r="J61" s="88"/>
      <c r="K61" s="88"/>
      <c r="L61" s="6"/>
    </row>
    <row r="62" spans="1:12">
      <c r="A62" s="281"/>
      <c r="B62" s="148"/>
      <c r="C62" s="88"/>
      <c r="D62" s="88"/>
      <c r="E62" s="88"/>
      <c r="F62" s="88"/>
      <c r="G62" s="88"/>
      <c r="H62" s="88"/>
      <c r="I62" s="88"/>
      <c r="J62" s="88"/>
      <c r="K62" s="88"/>
      <c r="L62" s="6"/>
    </row>
    <row r="63" spans="1:12">
      <c r="A63" s="281"/>
      <c r="B63" s="309"/>
      <c r="C63" s="309"/>
      <c r="D63" s="41"/>
      <c r="E63" s="41"/>
      <c r="F63" s="41"/>
      <c r="G63" s="41"/>
      <c r="H63" s="41"/>
      <c r="I63" s="309"/>
      <c r="J63" s="309"/>
      <c r="K63" s="148"/>
    </row>
    <row r="64" spans="1:12">
      <c r="A64" s="310" t="s">
        <v>974</v>
      </c>
      <c r="B64" s="148"/>
      <c r="C64" s="309"/>
      <c r="D64" s="41"/>
      <c r="E64" s="41"/>
      <c r="F64" s="41"/>
      <c r="G64" s="41"/>
      <c r="H64" s="41"/>
      <c r="I64" s="309"/>
      <c r="J64" s="309"/>
      <c r="K64" s="148"/>
    </row>
    <row r="65" spans="1:11">
      <c r="A65" s="281"/>
      <c r="B65" s="177" t="s">
        <v>198</v>
      </c>
      <c r="C65" s="311" t="s">
        <v>199</v>
      </c>
      <c r="D65" s="312" t="s">
        <v>200</v>
      </c>
      <c r="E65" s="312" t="s">
        <v>201</v>
      </c>
      <c r="F65" s="177"/>
      <c r="G65" s="148"/>
      <c r="H65" s="148"/>
      <c r="I65" s="148"/>
      <c r="J65" s="309"/>
      <c r="K65" s="148"/>
    </row>
    <row r="66" spans="1:11">
      <c r="A66" s="281"/>
      <c r="B66" s="313" t="str">
        <f>+A64</f>
        <v>Prior Period Adjustments</v>
      </c>
      <c r="C66" s="314" t="s">
        <v>11</v>
      </c>
      <c r="D66" s="314" t="s">
        <v>297</v>
      </c>
      <c r="E66" s="314" t="s">
        <v>13</v>
      </c>
      <c r="F66" s="148"/>
      <c r="G66" s="148"/>
      <c r="H66" s="148"/>
      <c r="I66" s="148"/>
      <c r="J66" s="309"/>
      <c r="K66" s="148"/>
    </row>
    <row r="67" spans="1:11">
      <c r="A67" s="281"/>
      <c r="B67" s="315" t="s">
        <v>390</v>
      </c>
      <c r="C67" s="316" t="s">
        <v>353</v>
      </c>
      <c r="D67" s="315" t="s">
        <v>390</v>
      </c>
      <c r="E67" s="316" t="s">
        <v>354</v>
      </c>
      <c r="F67" s="148"/>
      <c r="G67" s="148"/>
      <c r="H67" s="148"/>
      <c r="I67" s="148"/>
      <c r="J67" s="309"/>
      <c r="K67" s="148"/>
    </row>
    <row r="68" spans="1:11">
      <c r="A68" s="281" t="s">
        <v>132</v>
      </c>
      <c r="B68" s="898">
        <v>0</v>
      </c>
      <c r="C68" s="899">
        <v>0</v>
      </c>
      <c r="D68" s="899">
        <v>0</v>
      </c>
      <c r="E68" s="891">
        <v>0</v>
      </c>
      <c r="F68" s="148"/>
      <c r="G68" s="148"/>
      <c r="H68" s="148"/>
      <c r="I68" s="148"/>
      <c r="J68" s="309"/>
      <c r="K68" s="148"/>
    </row>
    <row r="69" spans="1:11">
      <c r="A69" s="281"/>
      <c r="B69" s="317"/>
      <c r="C69" s="226"/>
      <c r="D69" s="226"/>
      <c r="E69" s="227"/>
      <c r="F69" s="148"/>
      <c r="G69" s="148"/>
      <c r="H69" s="148"/>
      <c r="I69" s="148"/>
      <c r="J69" s="309"/>
      <c r="K69" s="148"/>
    </row>
    <row r="70" spans="1:11">
      <c r="A70" s="281"/>
      <c r="B70" s="148"/>
      <c r="C70" s="309"/>
      <c r="D70" s="309"/>
      <c r="E70" s="309"/>
      <c r="F70" s="309"/>
      <c r="G70" s="309"/>
      <c r="H70" s="39"/>
      <c r="I70" s="148"/>
      <c r="J70" s="309"/>
      <c r="K70" s="148"/>
    </row>
    <row r="71" spans="1:11" ht="66" customHeight="1" thickBot="1">
      <c r="A71" s="318" t="s">
        <v>182</v>
      </c>
      <c r="B71" s="148"/>
      <c r="C71" s="21"/>
      <c r="D71" s="319"/>
      <c r="E71" s="319"/>
      <c r="F71" s="319"/>
      <c r="G71" s="319"/>
      <c r="H71" s="319"/>
      <c r="I71" s="319"/>
      <c r="J71" s="309"/>
      <c r="K71" s="148"/>
    </row>
    <row r="72" spans="1:11" ht="49.9" customHeight="1">
      <c r="A72" s="231" t="s">
        <v>58</v>
      </c>
      <c r="B72" s="1043" t="s">
        <v>425</v>
      </c>
      <c r="C72" s="1043"/>
      <c r="D72" s="1043"/>
      <c r="E72" s="1043"/>
      <c r="F72" s="1043"/>
      <c r="G72" s="1043"/>
      <c r="H72" s="1043"/>
      <c r="I72" s="1043"/>
      <c r="J72" s="1043"/>
      <c r="K72" s="1043"/>
    </row>
    <row r="73" spans="1:11" ht="27" customHeight="1">
      <c r="A73" s="320" t="s">
        <v>59</v>
      </c>
      <c r="B73" s="1034" t="s">
        <v>1402</v>
      </c>
      <c r="C73" s="1034"/>
      <c r="D73" s="1034"/>
      <c r="E73" s="1034"/>
      <c r="F73" s="1034"/>
      <c r="G73" s="1034"/>
      <c r="H73" s="1034"/>
      <c r="I73" s="1034"/>
      <c r="J73" s="1034"/>
      <c r="K73" s="1034"/>
    </row>
    <row r="74" spans="1:11">
      <c r="A74" s="320" t="s">
        <v>60</v>
      </c>
      <c r="B74" s="1034" t="s">
        <v>1558</v>
      </c>
      <c r="C74" s="1034"/>
      <c r="D74" s="1034"/>
      <c r="E74" s="1034"/>
      <c r="F74" s="1034"/>
      <c r="G74" s="1034"/>
      <c r="H74" s="1034"/>
      <c r="I74" s="1034"/>
      <c r="J74" s="1034"/>
      <c r="K74" s="1034"/>
    </row>
    <row r="78" spans="1:11" ht="24" customHeight="1"/>
  </sheetData>
  <sheetProtection algorithmName="SHA-512" hashValue="hV3roc966VWlN6uUqnjTSx71QJO9xxaCxUITCdAjaYAD1bZ14Lc5gluAIo2GV9CdKRU4W4AA3frhwckc6eQTtg==" saltValue="6GGhJopFV/CHWS9meflD+Q==" spinCount="100000" sheet="1" objects="1" scenarios="1"/>
  <mergeCells count="7">
    <mergeCell ref="B73:K73"/>
    <mergeCell ref="B74:K74"/>
    <mergeCell ref="B16:B17"/>
    <mergeCell ref="D10:E10"/>
    <mergeCell ref="D11:E11"/>
    <mergeCell ref="C16:C17"/>
    <mergeCell ref="B72:K72"/>
  </mergeCells>
  <phoneticPr fontId="0" type="noConversion"/>
  <pageMargins left="0.25" right="0.25" top="0.75" bottom="0.75" header="0.3" footer="0.3"/>
  <pageSetup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18"/>
  <sheetViews>
    <sheetView view="pageBreakPreview" zoomScale="70" zoomScaleNormal="85" zoomScaleSheetLayoutView="70" workbookViewId="0">
      <selection activeCell="I101" sqref="I101"/>
    </sheetView>
  </sheetViews>
  <sheetFormatPr defaultColWidth="8.88671875" defaultRowHeight="12.75"/>
  <cols>
    <col min="1" max="1" width="4.88671875" style="323" customWidth="1"/>
    <col min="2" max="2" width="29" style="21" bestFit="1" customWidth="1"/>
    <col min="3" max="3" width="35.5546875" style="21" customWidth="1"/>
    <col min="4" max="4" width="19.21875" style="21" customWidth="1"/>
    <col min="5" max="5" width="20.33203125" style="21" customWidth="1"/>
    <col min="6" max="6" width="19.6640625" style="21" customWidth="1"/>
    <col min="7" max="7" width="21.109375" style="21" customWidth="1"/>
    <col min="8" max="9" width="21.44140625" style="21" customWidth="1"/>
    <col min="10" max="12" width="18.44140625" style="21" customWidth="1"/>
    <col min="13" max="14" width="11.77734375" style="21" customWidth="1"/>
    <col min="15" max="16384" width="8.88671875" style="21"/>
  </cols>
  <sheetData>
    <row r="1" spans="1:12">
      <c r="C1" s="324"/>
      <c r="D1" s="324"/>
      <c r="E1" s="324"/>
      <c r="G1" s="151" t="s">
        <v>191</v>
      </c>
      <c r="H1" s="324"/>
      <c r="I1" s="324"/>
      <c r="L1" s="325" t="s">
        <v>422</v>
      </c>
    </row>
    <row r="2" spans="1:12">
      <c r="A2" s="326"/>
      <c r="C2" s="324"/>
      <c r="D2" s="324"/>
      <c r="E2" s="324"/>
      <c r="F2" s="324"/>
      <c r="G2" s="327" t="s">
        <v>260</v>
      </c>
      <c r="H2" s="324"/>
      <c r="I2" s="324"/>
      <c r="J2" s="324"/>
      <c r="L2" s="328"/>
    </row>
    <row r="3" spans="1:12">
      <c r="A3" s="326"/>
      <c r="C3" s="324"/>
      <c r="D3" s="324"/>
      <c r="E3" s="324"/>
      <c r="F3" s="324"/>
      <c r="G3" s="24" t="str">
        <f>+'Attachment H-7'!D5</f>
        <v>PECO Energy Company</v>
      </c>
      <c r="H3" s="324"/>
      <c r="I3" s="324"/>
      <c r="J3" s="324"/>
    </row>
    <row r="4" spans="1:12">
      <c r="A4" s="326"/>
      <c r="C4" s="324"/>
      <c r="D4" s="324"/>
      <c r="E4" s="324"/>
      <c r="F4" s="324"/>
      <c r="G4" s="324"/>
      <c r="H4" s="324"/>
      <c r="I4" s="324"/>
      <c r="J4" s="324"/>
    </row>
    <row r="5" spans="1:12">
      <c r="A5" s="326"/>
      <c r="B5" s="329"/>
      <c r="C5" s="329"/>
      <c r="D5" s="329"/>
      <c r="E5" s="329"/>
      <c r="F5" s="329"/>
      <c r="G5" s="329"/>
      <c r="H5" s="329"/>
      <c r="I5" s="329"/>
      <c r="J5" s="329"/>
    </row>
    <row r="6" spans="1:12">
      <c r="A6" s="326"/>
      <c r="B6" s="329"/>
      <c r="C6" s="1048" t="s">
        <v>209</v>
      </c>
      <c r="D6" s="1049"/>
      <c r="E6" s="1050"/>
      <c r="F6" s="330" t="s">
        <v>211</v>
      </c>
      <c r="G6" s="330" t="s">
        <v>212</v>
      </c>
      <c r="H6" s="330" t="s">
        <v>210</v>
      </c>
      <c r="I6" s="330"/>
      <c r="J6" s="1045" t="s">
        <v>208</v>
      </c>
      <c r="K6" s="1046"/>
      <c r="L6" s="1047"/>
    </row>
    <row r="7" spans="1:12" s="334" customFormat="1" ht="25.5">
      <c r="A7" s="331" t="s">
        <v>197</v>
      </c>
      <c r="B7" s="332" t="s">
        <v>167</v>
      </c>
      <c r="C7" s="332" t="s">
        <v>17</v>
      </c>
      <c r="D7" s="332" t="s">
        <v>660</v>
      </c>
      <c r="E7" s="333" t="s">
        <v>702</v>
      </c>
      <c r="F7" s="332" t="s">
        <v>391</v>
      </c>
      <c r="G7" s="332" t="s">
        <v>168</v>
      </c>
      <c r="H7" s="332" t="s">
        <v>169</v>
      </c>
      <c r="I7" s="332" t="s">
        <v>170</v>
      </c>
      <c r="J7" s="332" t="s">
        <v>17</v>
      </c>
      <c r="K7" s="332" t="s">
        <v>660</v>
      </c>
      <c r="L7" s="333" t="s">
        <v>702</v>
      </c>
    </row>
    <row r="8" spans="1:12" s="126" customFormat="1">
      <c r="A8" s="326"/>
      <c r="B8" s="330" t="s">
        <v>198</v>
      </c>
      <c r="C8" s="330" t="s">
        <v>199</v>
      </c>
      <c r="D8" s="330" t="s">
        <v>200</v>
      </c>
      <c r="E8" s="332" t="s">
        <v>1146</v>
      </c>
      <c r="F8" s="332" t="s">
        <v>203</v>
      </c>
      <c r="G8" s="332" t="s">
        <v>202</v>
      </c>
      <c r="H8" s="332" t="s">
        <v>204</v>
      </c>
      <c r="I8" s="335" t="s">
        <v>1145</v>
      </c>
      <c r="J8" s="335" t="s">
        <v>1147</v>
      </c>
      <c r="K8" s="335" t="s">
        <v>1148</v>
      </c>
      <c r="L8" s="335" t="s">
        <v>1149</v>
      </c>
    </row>
    <row r="9" spans="1:12" s="126" customFormat="1">
      <c r="A9" s="326"/>
      <c r="B9" s="336" t="s">
        <v>393</v>
      </c>
      <c r="C9" s="327">
        <v>2</v>
      </c>
      <c r="D9" s="327">
        <v>4</v>
      </c>
      <c r="E9" s="337">
        <v>5</v>
      </c>
      <c r="F9" s="338">
        <v>27</v>
      </c>
      <c r="G9" s="338">
        <v>31</v>
      </c>
      <c r="H9" s="338">
        <v>34</v>
      </c>
      <c r="I9" s="338">
        <v>35</v>
      </c>
      <c r="J9" s="339">
        <v>9</v>
      </c>
      <c r="K9" s="339">
        <v>11</v>
      </c>
      <c r="L9" s="337">
        <v>12</v>
      </c>
    </row>
    <row r="10" spans="1:12" s="126" customFormat="1" ht="77.25" customHeight="1">
      <c r="A10" s="326"/>
      <c r="B10" s="330"/>
      <c r="C10" s="340" t="s">
        <v>667</v>
      </c>
      <c r="D10" s="341" t="s">
        <v>666</v>
      </c>
      <c r="E10" s="342" t="s">
        <v>1119</v>
      </c>
      <c r="F10" s="342" t="s">
        <v>103</v>
      </c>
      <c r="G10" s="341" t="s">
        <v>1652</v>
      </c>
      <c r="H10" s="341" t="s">
        <v>1565</v>
      </c>
      <c r="I10" s="341" t="s">
        <v>302</v>
      </c>
      <c r="J10" s="341" t="s">
        <v>449</v>
      </c>
      <c r="K10" s="341" t="s">
        <v>659</v>
      </c>
      <c r="L10" s="342" t="s">
        <v>1119</v>
      </c>
    </row>
    <row r="11" spans="1:12">
      <c r="A11" s="326">
        <v>1</v>
      </c>
      <c r="B11" s="343" t="s">
        <v>195</v>
      </c>
      <c r="C11" s="916">
        <v>1694670228.3199997</v>
      </c>
      <c r="D11" s="916">
        <v>283844047.89000005</v>
      </c>
      <c r="E11" s="916">
        <v>681307080.68196797</v>
      </c>
      <c r="F11" s="916">
        <v>0</v>
      </c>
      <c r="G11" s="916">
        <v>244519.27000000002</v>
      </c>
      <c r="H11" s="916">
        <v>9885239.8551747575</v>
      </c>
      <c r="I11" s="916">
        <v>1484479.2265494026</v>
      </c>
      <c r="J11" s="916">
        <v>521171514.73999995</v>
      </c>
      <c r="K11" s="916">
        <v>84322356.420000017</v>
      </c>
      <c r="L11" s="916">
        <v>301612460.62303203</v>
      </c>
    </row>
    <row r="12" spans="1:12">
      <c r="A12" s="326">
        <v>2</v>
      </c>
      <c r="B12" s="343" t="s">
        <v>84</v>
      </c>
      <c r="C12" s="916">
        <v>1700330179.9856236</v>
      </c>
      <c r="D12" s="916">
        <v>284174590.03000003</v>
      </c>
      <c r="E12" s="916">
        <v>693139410.67149997</v>
      </c>
      <c r="F12" s="916">
        <v>0</v>
      </c>
      <c r="G12" s="878">
        <v>244519.27</v>
      </c>
      <c r="H12" s="916">
        <v>9714961.4211877212</v>
      </c>
      <c r="I12" s="878">
        <v>1317061.1338664084</v>
      </c>
      <c r="J12" s="916">
        <v>523476302.80112225</v>
      </c>
      <c r="K12" s="916">
        <v>85713317.242030919</v>
      </c>
      <c r="L12" s="916">
        <v>304796796.57044077</v>
      </c>
    </row>
    <row r="13" spans="1:12">
      <c r="A13" s="326">
        <v>3</v>
      </c>
      <c r="B13" s="324" t="s">
        <v>83</v>
      </c>
      <c r="C13" s="916">
        <v>1703001389.8491645</v>
      </c>
      <c r="D13" s="916">
        <v>284552364.59000003</v>
      </c>
      <c r="E13" s="916">
        <v>697339740.16844797</v>
      </c>
      <c r="F13" s="916">
        <v>0</v>
      </c>
      <c r="G13" s="878">
        <v>244519.27000000002</v>
      </c>
      <c r="H13" s="916">
        <v>9727194.1069677472</v>
      </c>
      <c r="I13" s="878">
        <v>1002601.0976729067</v>
      </c>
      <c r="J13" s="916">
        <v>525789983.26248753</v>
      </c>
      <c r="K13" s="916">
        <v>87086779.940500334</v>
      </c>
      <c r="L13" s="916">
        <v>308059662.68598706</v>
      </c>
    </row>
    <row r="14" spans="1:12">
      <c r="A14" s="326">
        <v>4</v>
      </c>
      <c r="B14" s="324" t="s">
        <v>171</v>
      </c>
      <c r="C14" s="916">
        <v>1706917856.9961262</v>
      </c>
      <c r="D14" s="916">
        <v>284999401.47000003</v>
      </c>
      <c r="E14" s="916">
        <v>707304207.59970391</v>
      </c>
      <c r="F14" s="916">
        <v>0</v>
      </c>
      <c r="G14" s="878">
        <v>253019.2699999999</v>
      </c>
      <c r="H14" s="916">
        <v>9618713.129190078</v>
      </c>
      <c r="I14" s="878">
        <v>2599275.3021326112</v>
      </c>
      <c r="J14" s="916">
        <v>528105666.44168162</v>
      </c>
      <c r="K14" s="916">
        <v>88443588.259149209</v>
      </c>
      <c r="L14" s="916">
        <v>311343671.2316944</v>
      </c>
    </row>
    <row r="15" spans="1:12">
      <c r="A15" s="326">
        <v>5</v>
      </c>
      <c r="B15" s="324" t="s">
        <v>74</v>
      </c>
      <c r="C15" s="916">
        <v>1711729114.4985113</v>
      </c>
      <c r="D15" s="916">
        <v>285454288.79000002</v>
      </c>
      <c r="E15" s="916">
        <v>712439103.04158795</v>
      </c>
      <c r="F15" s="916">
        <v>0</v>
      </c>
      <c r="G15" s="878">
        <v>875689.92700000003</v>
      </c>
      <c r="H15" s="916">
        <v>9691537.8215295412</v>
      </c>
      <c r="I15" s="878">
        <v>1983986.339323564</v>
      </c>
      <c r="J15" s="916">
        <v>530425602.53506327</v>
      </c>
      <c r="K15" s="916">
        <v>89784447.441327721</v>
      </c>
      <c r="L15" s="916">
        <v>314643435.2259146</v>
      </c>
    </row>
    <row r="16" spans="1:12">
      <c r="A16" s="326">
        <v>6</v>
      </c>
      <c r="B16" s="324" t="s">
        <v>73</v>
      </c>
      <c r="C16" s="916">
        <v>1715119979.6670816</v>
      </c>
      <c r="D16" s="916">
        <v>285894159.35000002</v>
      </c>
      <c r="E16" s="916">
        <v>717311223.41314805</v>
      </c>
      <c r="F16" s="916">
        <v>0</v>
      </c>
      <c r="G16" s="878">
        <v>4376463.051</v>
      </c>
      <c r="H16" s="916">
        <v>9890740.6606808621</v>
      </c>
      <c r="I16" s="878">
        <v>1518989.2374021458</v>
      </c>
      <c r="J16" s="916">
        <v>532749239.54703569</v>
      </c>
      <c r="K16" s="916">
        <v>91109774.316735283</v>
      </c>
      <c r="L16" s="916">
        <v>317909594.49938691</v>
      </c>
    </row>
    <row r="17" spans="1:12">
      <c r="A17" s="326">
        <v>7</v>
      </c>
      <c r="B17" s="324" t="s">
        <v>93</v>
      </c>
      <c r="C17" s="916">
        <v>1720095982.9980345</v>
      </c>
      <c r="D17" s="916">
        <v>286352270.51000005</v>
      </c>
      <c r="E17" s="916">
        <v>722444132.40729606</v>
      </c>
      <c r="F17" s="916">
        <v>0</v>
      </c>
      <c r="G17" s="878">
        <v>7519830.3399999999</v>
      </c>
      <c r="H17" s="916">
        <v>10174824.795840582</v>
      </c>
      <c r="I17" s="878">
        <v>1785545.6428876633</v>
      </c>
      <c r="J17" s="916">
        <v>535076730.52721053</v>
      </c>
      <c r="K17" s="916">
        <v>92420003.915550351</v>
      </c>
      <c r="L17" s="916">
        <v>321146881.70514339</v>
      </c>
    </row>
    <row r="18" spans="1:12">
      <c r="A18" s="326">
        <v>8</v>
      </c>
      <c r="B18" s="324" t="s">
        <v>81</v>
      </c>
      <c r="C18" s="916">
        <v>1724868798.5615909</v>
      </c>
      <c r="D18" s="916">
        <v>286799508.06000006</v>
      </c>
      <c r="E18" s="916">
        <v>727403894.12589598</v>
      </c>
      <c r="F18" s="916">
        <v>0</v>
      </c>
      <c r="G18" s="878">
        <v>7533308.6500000004</v>
      </c>
      <c r="H18" s="916">
        <v>10287886.179575404</v>
      </c>
      <c r="I18" s="878">
        <v>1276264.7692013583</v>
      </c>
      <c r="J18" s="916">
        <v>537409502.01611173</v>
      </c>
      <c r="K18" s="916">
        <v>93715561.328785777</v>
      </c>
      <c r="L18" s="916">
        <v>324399337.38044763</v>
      </c>
    </row>
    <row r="19" spans="1:12">
      <c r="A19" s="326">
        <v>9</v>
      </c>
      <c r="B19" s="324" t="s">
        <v>172</v>
      </c>
      <c r="C19" s="916">
        <v>1728766411.4963632</v>
      </c>
      <c r="D19" s="916">
        <v>287199066.83000004</v>
      </c>
      <c r="E19" s="916">
        <v>731862643.77480805</v>
      </c>
      <c r="F19" s="916">
        <v>0</v>
      </c>
      <c r="G19" s="878">
        <v>7555758.8200000003</v>
      </c>
      <c r="H19" s="916">
        <v>10196294.186683077</v>
      </c>
      <c r="I19" s="878">
        <v>1511606.576030324</v>
      </c>
      <c r="J19" s="916">
        <v>539746381.95373905</v>
      </c>
      <c r="K19" s="916">
        <v>94996628.858629405</v>
      </c>
      <c r="L19" s="916">
        <v>327668989.89261723</v>
      </c>
    </row>
    <row r="20" spans="1:12">
      <c r="A20" s="326">
        <v>10</v>
      </c>
      <c r="B20" s="324" t="s">
        <v>79</v>
      </c>
      <c r="C20" s="916">
        <v>1733850282.433089</v>
      </c>
      <c r="D20" s="916">
        <v>287612119.75000006</v>
      </c>
      <c r="E20" s="916">
        <v>736624542.22957599</v>
      </c>
      <c r="F20" s="916">
        <v>0</v>
      </c>
      <c r="G20" s="878">
        <v>7556902.9800000004</v>
      </c>
      <c r="H20" s="916">
        <v>10763579.597017746</v>
      </c>
      <c r="I20" s="878">
        <v>1626103.5199789712</v>
      </c>
      <c r="J20" s="916">
        <v>542087686.68405628</v>
      </c>
      <c r="K20" s="916">
        <v>96263455.767050147</v>
      </c>
      <c r="L20" s="916">
        <v>330955185.16058689</v>
      </c>
    </row>
    <row r="21" spans="1:12">
      <c r="A21" s="326">
        <v>11</v>
      </c>
      <c r="B21" s="324" t="s">
        <v>85</v>
      </c>
      <c r="C21" s="916">
        <v>1739233116.3988383</v>
      </c>
      <c r="D21" s="916">
        <v>288019091.26000005</v>
      </c>
      <c r="E21" s="916">
        <v>744735109.74236405</v>
      </c>
      <c r="F21" s="916">
        <v>0</v>
      </c>
      <c r="G21" s="878">
        <v>7912555.120000001</v>
      </c>
      <c r="H21" s="916">
        <v>10665700.721769322</v>
      </c>
      <c r="I21" s="878">
        <v>2594869.9771281602</v>
      </c>
      <c r="J21" s="916">
        <v>544434963.68461871</v>
      </c>
      <c r="K21" s="916">
        <v>97516418.505075097</v>
      </c>
      <c r="L21" s="916">
        <v>334274737.35239261</v>
      </c>
    </row>
    <row r="22" spans="1:12">
      <c r="A22" s="326">
        <v>12</v>
      </c>
      <c r="B22" s="324" t="s">
        <v>78</v>
      </c>
      <c r="C22" s="916">
        <v>1748731034.4357243</v>
      </c>
      <c r="D22" s="916">
        <v>288382327.28000003</v>
      </c>
      <c r="E22" s="916">
        <v>749153791.95742798</v>
      </c>
      <c r="F22" s="916">
        <v>0</v>
      </c>
      <c r="G22" s="878">
        <v>8909221.7599999998</v>
      </c>
      <c r="H22" s="916">
        <v>10032544.268456001</v>
      </c>
      <c r="I22" s="878">
        <v>1841107.1326724009</v>
      </c>
      <c r="J22" s="916">
        <v>546792823.00397933</v>
      </c>
      <c r="K22" s="916">
        <v>98755690.141976163</v>
      </c>
      <c r="L22" s="916">
        <v>337585038.9919275</v>
      </c>
    </row>
    <row r="23" spans="1:12">
      <c r="A23" s="326">
        <v>13</v>
      </c>
      <c r="B23" s="324" t="s">
        <v>196</v>
      </c>
      <c r="C23" s="916">
        <v>1773553735.3668497</v>
      </c>
      <c r="D23" s="916">
        <v>288770626.87</v>
      </c>
      <c r="E23" s="916">
        <v>784730979.51280069</v>
      </c>
      <c r="F23" s="916">
        <v>0</v>
      </c>
      <c r="G23" s="916">
        <v>8944463.7600000016</v>
      </c>
      <c r="H23" s="916">
        <v>11025144.834843833</v>
      </c>
      <c r="I23" s="916">
        <v>1171935.4774477254</v>
      </c>
      <c r="J23" s="916">
        <v>549181631.56275344</v>
      </c>
      <c r="K23" s="916">
        <v>99981530.574654758</v>
      </c>
      <c r="L23" s="916">
        <v>341065612.54771847</v>
      </c>
    </row>
    <row r="24" spans="1:12" ht="13.5" thickBot="1">
      <c r="A24" s="326">
        <v>14</v>
      </c>
      <c r="B24" s="325" t="s">
        <v>261</v>
      </c>
      <c r="C24" s="344">
        <f t="shared" ref="C24:E24" si="0">SUM(C11:C23)/13</f>
        <v>1723143700.8466916</v>
      </c>
      <c r="D24" s="344">
        <f t="shared" si="0"/>
        <v>286311835.59076923</v>
      </c>
      <c r="E24" s="344">
        <f t="shared" si="0"/>
        <v>723522758.40973258</v>
      </c>
      <c r="F24" s="344">
        <f t="shared" ref="F24:L24" si="1">SUM(F11:F23)/13</f>
        <v>0</v>
      </c>
      <c r="G24" s="344">
        <f t="shared" si="1"/>
        <v>4782367.0375384623</v>
      </c>
      <c r="H24" s="344">
        <f t="shared" si="1"/>
        <v>10128797.044532049</v>
      </c>
      <c r="I24" s="344">
        <f t="shared" si="1"/>
        <v>1670294.2640225876</v>
      </c>
      <c r="J24" s="344">
        <f t="shared" si="1"/>
        <v>535111386.82768154</v>
      </c>
      <c r="K24" s="344">
        <f t="shared" si="1"/>
        <v>92316119.439343467</v>
      </c>
      <c r="L24" s="344">
        <f t="shared" si="1"/>
        <v>321189338.7590223</v>
      </c>
    </row>
    <row r="25" spans="1:12" ht="13.5" thickTop="1">
      <c r="A25" s="326"/>
      <c r="B25" s="324"/>
      <c r="C25" s="345"/>
      <c r="D25" s="346"/>
      <c r="E25" s="346"/>
      <c r="F25" s="346"/>
      <c r="G25" s="345"/>
      <c r="H25" s="345"/>
      <c r="I25" s="345"/>
    </row>
    <row r="26" spans="1:12">
      <c r="A26" s="326"/>
      <c r="B26" s="347"/>
      <c r="C26" s="1051" t="s">
        <v>213</v>
      </c>
      <c r="D26" s="1051"/>
      <c r="E26" s="1051"/>
      <c r="F26" s="1051"/>
      <c r="G26" s="1051"/>
      <c r="H26" s="1051"/>
      <c r="I26" s="1051"/>
    </row>
    <row r="27" spans="1:12" ht="72" customHeight="1">
      <c r="A27" s="326" t="s">
        <v>197</v>
      </c>
      <c r="B27" s="330" t="s">
        <v>167</v>
      </c>
      <c r="C27" s="335" t="s">
        <v>173</v>
      </c>
      <c r="D27" s="335" t="s">
        <v>174</v>
      </c>
      <c r="E27" s="335" t="s">
        <v>339</v>
      </c>
      <c r="F27" s="335" t="s">
        <v>340</v>
      </c>
      <c r="G27" s="335" t="s">
        <v>341</v>
      </c>
      <c r="H27" s="335" t="s">
        <v>392</v>
      </c>
      <c r="I27" s="335" t="s">
        <v>263</v>
      </c>
      <c r="J27" s="1011" t="s">
        <v>654</v>
      </c>
    </row>
    <row r="28" spans="1:12" s="126" customFormat="1">
      <c r="A28" s="326"/>
      <c r="B28" s="330" t="s">
        <v>198</v>
      </c>
      <c r="C28" s="335" t="s">
        <v>199</v>
      </c>
      <c r="D28" s="335" t="s">
        <v>200</v>
      </c>
      <c r="E28" s="335" t="s">
        <v>201</v>
      </c>
      <c r="F28" s="335" t="s">
        <v>203</v>
      </c>
      <c r="G28" s="335" t="s">
        <v>202</v>
      </c>
      <c r="H28" s="335" t="s">
        <v>204</v>
      </c>
      <c r="I28" s="335" t="s">
        <v>205</v>
      </c>
      <c r="J28" s="1011" t="s">
        <v>206</v>
      </c>
    </row>
    <row r="29" spans="1:12" s="126" customFormat="1">
      <c r="A29" s="326"/>
      <c r="B29" s="336" t="s">
        <v>393</v>
      </c>
      <c r="C29" s="348">
        <v>28</v>
      </c>
      <c r="D29" s="348">
        <v>29</v>
      </c>
      <c r="E29" s="348">
        <v>22</v>
      </c>
      <c r="F29" s="348">
        <v>23</v>
      </c>
      <c r="G29" s="348">
        <v>24</v>
      </c>
      <c r="H29" s="348">
        <v>25</v>
      </c>
      <c r="I29" s="348">
        <v>26</v>
      </c>
      <c r="J29" s="282" t="s">
        <v>653</v>
      </c>
    </row>
    <row r="30" spans="1:12" s="126" customFormat="1" ht="51" customHeight="1">
      <c r="A30" s="326"/>
      <c r="B30" s="330"/>
      <c r="C30" s="332" t="s">
        <v>337</v>
      </c>
      <c r="D30" s="335" t="s">
        <v>338</v>
      </c>
      <c r="E30" s="335" t="s">
        <v>705</v>
      </c>
      <c r="F30" s="335" t="s">
        <v>706</v>
      </c>
      <c r="G30" s="335" t="s">
        <v>707</v>
      </c>
      <c r="H30" s="335" t="s">
        <v>708</v>
      </c>
      <c r="I30" s="335" t="s">
        <v>795</v>
      </c>
      <c r="J30" s="333" t="s">
        <v>1333</v>
      </c>
    </row>
    <row r="31" spans="1:12">
      <c r="A31" s="326">
        <v>15</v>
      </c>
      <c r="B31" s="343" t="s">
        <v>195</v>
      </c>
      <c r="C31" s="916">
        <v>0</v>
      </c>
      <c r="D31" s="916">
        <v>0</v>
      </c>
      <c r="E31" s="349"/>
      <c r="F31" s="349"/>
      <c r="G31" s="349"/>
      <c r="H31" s="349"/>
      <c r="I31" s="916">
        <v>0</v>
      </c>
      <c r="J31" s="916">
        <v>26305594.65084628</v>
      </c>
    </row>
    <row r="32" spans="1:12">
      <c r="A32" s="326">
        <v>16</v>
      </c>
      <c r="B32" s="343" t="s">
        <v>84</v>
      </c>
      <c r="C32" s="916">
        <v>0</v>
      </c>
      <c r="D32" s="916">
        <v>0</v>
      </c>
      <c r="E32" s="349"/>
      <c r="F32" s="349"/>
      <c r="G32" s="349"/>
      <c r="H32" s="349"/>
      <c r="I32" s="916">
        <v>0</v>
      </c>
      <c r="J32" s="916">
        <v>28171954.41185379</v>
      </c>
    </row>
    <row r="33" spans="1:15">
      <c r="A33" s="326">
        <v>17</v>
      </c>
      <c r="B33" s="324" t="s">
        <v>83</v>
      </c>
      <c r="C33" s="916">
        <v>0</v>
      </c>
      <c r="D33" s="916">
        <v>0</v>
      </c>
      <c r="E33" s="349"/>
      <c r="F33" s="349"/>
      <c r="G33" s="349"/>
      <c r="H33" s="349"/>
      <c r="I33" s="916">
        <v>0</v>
      </c>
      <c r="J33" s="916">
        <v>28143643.00532287</v>
      </c>
    </row>
    <row r="34" spans="1:15">
      <c r="A34" s="326">
        <v>18</v>
      </c>
      <c r="B34" s="324" t="s">
        <v>171</v>
      </c>
      <c r="C34" s="916">
        <v>0</v>
      </c>
      <c r="D34" s="916">
        <v>0</v>
      </c>
      <c r="E34" s="349"/>
      <c r="F34" s="349"/>
      <c r="G34" s="349"/>
      <c r="H34" s="349"/>
      <c r="I34" s="916">
        <v>0</v>
      </c>
      <c r="J34" s="916">
        <v>28080733.257917397</v>
      </c>
    </row>
    <row r="35" spans="1:15">
      <c r="A35" s="326">
        <v>19</v>
      </c>
      <c r="B35" s="324" t="s">
        <v>74</v>
      </c>
      <c r="C35" s="916">
        <v>0</v>
      </c>
      <c r="D35" s="916">
        <v>0</v>
      </c>
      <c r="E35" s="349"/>
      <c r="F35" s="349"/>
      <c r="G35" s="349"/>
      <c r="H35" s="349"/>
      <c r="I35" s="916">
        <v>0</v>
      </c>
      <c r="J35" s="916">
        <v>28031892.826613057</v>
      </c>
    </row>
    <row r="36" spans="1:15">
      <c r="A36" s="326">
        <v>20</v>
      </c>
      <c r="B36" s="324" t="s">
        <v>73</v>
      </c>
      <c r="C36" s="916">
        <v>0</v>
      </c>
      <c r="D36" s="916">
        <v>0</v>
      </c>
      <c r="E36" s="349"/>
      <c r="F36" s="349"/>
      <c r="G36" s="349"/>
      <c r="H36" s="349"/>
      <c r="I36" s="916">
        <v>0</v>
      </c>
      <c r="J36" s="916">
        <v>27983969.044575453</v>
      </c>
    </row>
    <row r="37" spans="1:15">
      <c r="A37" s="326">
        <v>21</v>
      </c>
      <c r="B37" s="324" t="s">
        <v>93</v>
      </c>
      <c r="C37" s="916">
        <v>0</v>
      </c>
      <c r="D37" s="916">
        <v>0</v>
      </c>
      <c r="E37" s="349"/>
      <c r="F37" s="349"/>
      <c r="G37" s="349"/>
      <c r="H37" s="349"/>
      <c r="I37" s="916">
        <v>0</v>
      </c>
      <c r="J37" s="916">
        <v>27935128.613271113</v>
      </c>
    </row>
    <row r="38" spans="1:15">
      <c r="A38" s="326">
        <v>22</v>
      </c>
      <c r="B38" s="324" t="s">
        <v>81</v>
      </c>
      <c r="C38" s="916">
        <v>0</v>
      </c>
      <c r="D38" s="916">
        <v>0</v>
      </c>
      <c r="E38" s="349"/>
      <c r="F38" s="349"/>
      <c r="G38" s="349"/>
      <c r="H38" s="349"/>
      <c r="I38" s="916">
        <v>0</v>
      </c>
      <c r="J38" s="916">
        <v>27886288.181966778</v>
      </c>
    </row>
    <row r="39" spans="1:15">
      <c r="A39" s="326">
        <v>23</v>
      </c>
      <c r="B39" s="324" t="s">
        <v>172</v>
      </c>
      <c r="C39" s="916">
        <v>0</v>
      </c>
      <c r="D39" s="916">
        <v>0</v>
      </c>
      <c r="E39" s="349"/>
      <c r="F39" s="349"/>
      <c r="G39" s="349"/>
      <c r="H39" s="349"/>
      <c r="I39" s="916">
        <v>0</v>
      </c>
      <c r="J39" s="916">
        <v>27837448.855049156</v>
      </c>
    </row>
    <row r="40" spans="1:15">
      <c r="A40" s="326">
        <v>24</v>
      </c>
      <c r="B40" s="324" t="s">
        <v>79</v>
      </c>
      <c r="C40" s="916">
        <v>0</v>
      </c>
      <c r="D40" s="916">
        <v>0</v>
      </c>
      <c r="E40" s="349"/>
      <c r="F40" s="349"/>
      <c r="G40" s="349"/>
      <c r="H40" s="349"/>
      <c r="I40" s="916">
        <v>0</v>
      </c>
      <c r="J40" s="916">
        <v>27651853.385147657</v>
      </c>
    </row>
    <row r="41" spans="1:15">
      <c r="A41" s="326">
        <v>25</v>
      </c>
      <c r="B41" s="324" t="s">
        <v>85</v>
      </c>
      <c r="C41" s="916">
        <v>0</v>
      </c>
      <c r="D41" s="916">
        <v>0</v>
      </c>
      <c r="E41" s="349"/>
      <c r="F41" s="349"/>
      <c r="G41" s="349"/>
      <c r="H41" s="349"/>
      <c r="I41" s="916">
        <v>0</v>
      </c>
      <c r="J41" s="916">
        <v>27605311.032583959</v>
      </c>
    </row>
    <row r="42" spans="1:15">
      <c r="A42" s="326">
        <v>26</v>
      </c>
      <c r="B42" s="324" t="s">
        <v>78</v>
      </c>
      <c r="C42" s="916">
        <v>0</v>
      </c>
      <c r="D42" s="916">
        <v>0</v>
      </c>
      <c r="E42" s="349"/>
      <c r="F42" s="349"/>
      <c r="G42" s="349"/>
      <c r="H42" s="349"/>
      <c r="I42" s="916">
        <v>0</v>
      </c>
      <c r="J42" s="916">
        <v>27556340.687709428</v>
      </c>
    </row>
    <row r="43" spans="1:15">
      <c r="A43" s="326">
        <v>27</v>
      </c>
      <c r="B43" s="324" t="s">
        <v>196</v>
      </c>
      <c r="C43" s="916">
        <v>0</v>
      </c>
      <c r="D43" s="916">
        <v>0</v>
      </c>
      <c r="E43" s="349"/>
      <c r="F43" s="349"/>
      <c r="G43" s="349"/>
      <c r="H43" s="349"/>
      <c r="I43" s="916">
        <v>0</v>
      </c>
      <c r="J43" s="916">
        <v>27501525.352393467</v>
      </c>
    </row>
    <row r="44" spans="1:15" ht="13.5" thickBot="1">
      <c r="A44" s="326">
        <v>28</v>
      </c>
      <c r="B44" s="350" t="s">
        <v>262</v>
      </c>
      <c r="C44" s="344">
        <f t="shared" ref="C44:I44" si="2">SUM(C31:C43)/13</f>
        <v>0</v>
      </c>
      <c r="D44" s="351">
        <f t="shared" si="2"/>
        <v>0</v>
      </c>
      <c r="E44" s="351" t="str">
        <f>+'4A - ADIT Summary'!M90</f>
        <v>Zero</v>
      </c>
      <c r="F44" s="344">
        <f>'4A - ADIT Summary'!M30</f>
        <v>-211876798.40933394</v>
      </c>
      <c r="G44" s="344">
        <f>'4A - ADIT Summary'!M34</f>
        <v>-10877541.139514307</v>
      </c>
      <c r="H44" s="344">
        <f>'4A - ADIT Summary'!M57</f>
        <v>14605420.952301415</v>
      </c>
      <c r="I44" s="344">
        <f t="shared" si="2"/>
        <v>0</v>
      </c>
      <c r="J44" s="344">
        <f>SUM(J31:J43)/13</f>
        <v>27745514.100403879</v>
      </c>
    </row>
    <row r="45" spans="1:15" ht="13.5" thickTop="1">
      <c r="A45" s="326"/>
      <c r="B45" s="324" t="s">
        <v>704</v>
      </c>
      <c r="E45" s="1052"/>
      <c r="F45" s="1052"/>
      <c r="G45" s="1052"/>
      <c r="H45" s="1052"/>
      <c r="I45" s="346"/>
      <c r="J45" s="328"/>
    </row>
    <row r="46" spans="1:15">
      <c r="A46" s="326"/>
      <c r="J46" s="282"/>
    </row>
    <row r="47" spans="1:15">
      <c r="F47" s="151" t="s">
        <v>191</v>
      </c>
    </row>
    <row r="48" spans="1:15">
      <c r="A48" s="326"/>
      <c r="C48" s="352"/>
      <c r="D48" s="352"/>
      <c r="E48" s="352"/>
      <c r="F48" s="327" t="s">
        <v>260</v>
      </c>
      <c r="G48" s="352"/>
      <c r="L48" s="126"/>
      <c r="M48" s="126"/>
      <c r="N48" s="126"/>
      <c r="O48" s="126"/>
    </row>
    <row r="49" spans="1:16" ht="18" customHeight="1">
      <c r="A49" s="326"/>
      <c r="C49" s="352"/>
      <c r="D49" s="352"/>
      <c r="E49" s="352"/>
      <c r="F49" s="24" t="str">
        <f>'Attachment H-7'!$D$5</f>
        <v>PECO Energy Company</v>
      </c>
      <c r="G49" s="352"/>
      <c r="K49" s="126"/>
      <c r="L49" s="126"/>
      <c r="M49" s="126"/>
      <c r="N49" s="126"/>
      <c r="O49" s="126"/>
    </row>
    <row r="50" spans="1:16">
      <c r="A50" s="326"/>
      <c r="B50" s="282" t="s">
        <v>394</v>
      </c>
      <c r="C50" s="352"/>
      <c r="D50" s="352"/>
      <c r="E50" s="352"/>
      <c r="F50" s="24"/>
      <c r="G50" s="352"/>
      <c r="K50" s="126"/>
      <c r="L50" s="126"/>
      <c r="M50" s="126"/>
      <c r="N50" s="126"/>
      <c r="O50" s="126"/>
    </row>
    <row r="51" spans="1:16">
      <c r="A51" s="326"/>
      <c r="B51" s="282" t="s">
        <v>198</v>
      </c>
      <c r="C51" s="282" t="s">
        <v>199</v>
      </c>
      <c r="D51" s="282" t="s">
        <v>200</v>
      </c>
      <c r="E51" s="282" t="s">
        <v>201</v>
      </c>
      <c r="F51" s="282" t="s">
        <v>203</v>
      </c>
      <c r="G51" s="282" t="s">
        <v>202</v>
      </c>
      <c r="H51" s="282" t="s">
        <v>204</v>
      </c>
      <c r="I51" s="282" t="s">
        <v>205</v>
      </c>
      <c r="J51" s="328" t="s">
        <v>154</v>
      </c>
      <c r="L51" s="126"/>
      <c r="M51" s="126"/>
      <c r="N51" s="126"/>
      <c r="O51" s="126"/>
      <c r="P51" s="126"/>
    </row>
    <row r="52" spans="1:16" ht="63.75">
      <c r="A52" s="326">
        <v>29</v>
      </c>
      <c r="B52" s="353" t="s">
        <v>325</v>
      </c>
      <c r="C52" s="354"/>
      <c r="D52" s="355" t="s">
        <v>11</v>
      </c>
      <c r="E52" s="355" t="s">
        <v>1270</v>
      </c>
      <c r="F52" s="355" t="s">
        <v>326</v>
      </c>
      <c r="G52" s="355" t="s">
        <v>423</v>
      </c>
      <c r="H52" s="356" t="s">
        <v>327</v>
      </c>
      <c r="I52" s="356" t="s">
        <v>328</v>
      </c>
      <c r="J52" s="353"/>
      <c r="K52" s="353"/>
      <c r="L52" s="353"/>
      <c r="M52" s="357"/>
      <c r="N52" s="126"/>
      <c r="O52" s="126"/>
      <c r="P52" s="126"/>
    </row>
    <row r="53" spans="1:16">
      <c r="A53" s="326" t="s">
        <v>329</v>
      </c>
      <c r="B53" s="62"/>
      <c r="C53" s="904" t="s">
        <v>1238</v>
      </c>
      <c r="D53" s="905">
        <v>-1267913.0840380234</v>
      </c>
      <c r="E53" s="906">
        <v>1</v>
      </c>
      <c r="F53" s="907">
        <v>1</v>
      </c>
      <c r="G53" s="908">
        <v>1</v>
      </c>
      <c r="H53" s="358">
        <f>'Attachment H-7'!I197</f>
        <v>9.4490855863003556E-2</v>
      </c>
      <c r="I53" s="359">
        <f>+H53*E53*D53*F53*G53</f>
        <v>-119806.19247065319</v>
      </c>
      <c r="J53" s="353"/>
      <c r="K53" s="62"/>
      <c r="L53" s="62"/>
      <c r="M53" s="357"/>
      <c r="N53" s="126"/>
      <c r="O53" s="126"/>
      <c r="P53" s="126"/>
    </row>
    <row r="54" spans="1:16">
      <c r="A54" s="326" t="s">
        <v>330</v>
      </c>
      <c r="B54" s="62"/>
      <c r="C54" s="904" t="s">
        <v>1239</v>
      </c>
      <c r="D54" s="905">
        <v>-605746.89988323103</v>
      </c>
      <c r="E54" s="906">
        <v>1</v>
      </c>
      <c r="F54" s="907">
        <v>1</v>
      </c>
      <c r="G54" s="908">
        <v>1</v>
      </c>
      <c r="H54" s="358">
        <f>H53</f>
        <v>9.4490855863003556E-2</v>
      </c>
      <c r="I54" s="359">
        <f t="shared" ref="I54:I65" si="3">+H54*E54*D54*F54*G54</f>
        <v>-57237.543006327629</v>
      </c>
      <c r="J54" s="353"/>
      <c r="K54" s="62"/>
      <c r="L54" s="62"/>
      <c r="M54" s="357"/>
      <c r="N54" s="126"/>
      <c r="O54" s="126"/>
      <c r="P54" s="126"/>
    </row>
    <row r="55" spans="1:16">
      <c r="A55" s="326" t="s">
        <v>331</v>
      </c>
      <c r="B55" s="62"/>
      <c r="C55" s="904" t="s">
        <v>919</v>
      </c>
      <c r="D55" s="905">
        <v>-1144403.4726259164</v>
      </c>
      <c r="E55" s="906">
        <v>1</v>
      </c>
      <c r="F55" s="907">
        <v>1</v>
      </c>
      <c r="G55" s="908">
        <v>1</v>
      </c>
      <c r="H55" s="358">
        <f t="shared" ref="H55:H58" si="4">H54</f>
        <v>9.4490855863003556E-2</v>
      </c>
      <c r="I55" s="359">
        <f t="shared" si="3"/>
        <v>-108135.6635810162</v>
      </c>
      <c r="J55" s="353"/>
      <c r="K55" s="62"/>
      <c r="L55" s="62"/>
      <c r="M55" s="357"/>
      <c r="N55" s="126"/>
      <c r="O55" s="126"/>
      <c r="P55" s="126"/>
    </row>
    <row r="56" spans="1:16">
      <c r="A56" s="326" t="s">
        <v>332</v>
      </c>
      <c r="B56" s="62"/>
      <c r="C56" s="904" t="s">
        <v>920</v>
      </c>
      <c r="D56" s="905">
        <v>-9790517.2649732847</v>
      </c>
      <c r="E56" s="906">
        <v>1</v>
      </c>
      <c r="F56" s="907">
        <v>1</v>
      </c>
      <c r="G56" s="908">
        <v>1</v>
      </c>
      <c r="H56" s="358">
        <f t="shared" si="4"/>
        <v>9.4490855863003556E-2</v>
      </c>
      <c r="I56" s="359">
        <f t="shared" si="3"/>
        <v>-925114.35570883844</v>
      </c>
      <c r="J56" s="353"/>
      <c r="K56" s="62"/>
      <c r="L56" s="62"/>
      <c r="M56" s="357"/>
      <c r="N56" s="126"/>
      <c r="O56" s="126"/>
      <c r="P56" s="126"/>
    </row>
    <row r="57" spans="1:16">
      <c r="A57" s="326" t="s">
        <v>333</v>
      </c>
      <c r="B57" s="62"/>
      <c r="C57" s="904" t="s">
        <v>921</v>
      </c>
      <c r="D57" s="905">
        <v>-20865.525722165967</v>
      </c>
      <c r="E57" s="906">
        <v>1</v>
      </c>
      <c r="F57" s="907">
        <v>1</v>
      </c>
      <c r="G57" s="908">
        <v>1</v>
      </c>
      <c r="H57" s="358">
        <f t="shared" si="4"/>
        <v>9.4490855863003556E-2</v>
      </c>
      <c r="I57" s="359">
        <f t="shared" si="3"/>
        <v>-1971.6013835189776</v>
      </c>
      <c r="J57" s="353"/>
      <c r="K57" s="62"/>
      <c r="L57" s="62"/>
      <c r="M57" s="357"/>
      <c r="N57" s="126"/>
      <c r="O57" s="126"/>
      <c r="P57" s="126"/>
    </row>
    <row r="58" spans="1:16">
      <c r="A58" s="326" t="s">
        <v>334</v>
      </c>
      <c r="B58" s="62"/>
      <c r="C58" s="904" t="s">
        <v>796</v>
      </c>
      <c r="D58" s="905">
        <v>-20868831.425313223</v>
      </c>
      <c r="E58" s="906">
        <v>1</v>
      </c>
      <c r="F58" s="907">
        <v>1</v>
      </c>
      <c r="G58" s="908">
        <v>1</v>
      </c>
      <c r="H58" s="358">
        <f t="shared" si="4"/>
        <v>9.4490855863003556E-2</v>
      </c>
      <c r="I58" s="359">
        <f t="shared" si="3"/>
        <v>-1971913.7422385907</v>
      </c>
      <c r="J58" s="353"/>
      <c r="K58" s="62"/>
      <c r="L58" s="62"/>
      <c r="M58" s="357"/>
      <c r="N58" s="126"/>
      <c r="O58" s="126"/>
      <c r="P58" s="126"/>
    </row>
    <row r="59" spans="1:16">
      <c r="A59" s="326" t="s">
        <v>1181</v>
      </c>
      <c r="B59" s="62"/>
      <c r="C59" s="904" t="s">
        <v>922</v>
      </c>
      <c r="D59" s="905">
        <v>0</v>
      </c>
      <c r="E59" s="906">
        <v>1</v>
      </c>
      <c r="F59" s="907">
        <v>1</v>
      </c>
      <c r="G59" s="908">
        <v>1</v>
      </c>
      <c r="H59" s="358">
        <v>1</v>
      </c>
      <c r="I59" s="359">
        <f t="shared" si="3"/>
        <v>0</v>
      </c>
      <c r="J59" s="353"/>
      <c r="K59" s="62"/>
      <c r="L59" s="62"/>
      <c r="M59" s="357"/>
      <c r="N59" s="126"/>
      <c r="O59" s="126"/>
      <c r="P59" s="126"/>
    </row>
    <row r="60" spans="1:16">
      <c r="A60" s="326" t="s">
        <v>1182</v>
      </c>
      <c r="B60" s="62"/>
      <c r="C60" s="909" t="s">
        <v>1628</v>
      </c>
      <c r="D60" s="905">
        <v>-20099009.054899056</v>
      </c>
      <c r="E60" s="906">
        <v>1</v>
      </c>
      <c r="F60" s="907">
        <v>1</v>
      </c>
      <c r="G60" s="908">
        <v>1</v>
      </c>
      <c r="H60" s="358">
        <f>H58</f>
        <v>9.4490855863003556E-2</v>
      </c>
      <c r="I60" s="359">
        <f t="shared" si="3"/>
        <v>-1899172.56759567</v>
      </c>
      <c r="J60" s="353"/>
      <c r="K60" s="62"/>
      <c r="L60" s="62"/>
      <c r="M60" s="357"/>
      <c r="N60" s="126"/>
      <c r="O60" s="126"/>
      <c r="P60" s="126"/>
    </row>
    <row r="61" spans="1:16">
      <c r="A61" s="326" t="s">
        <v>1257</v>
      </c>
      <c r="B61" s="62"/>
      <c r="C61" s="909" t="s">
        <v>1629</v>
      </c>
      <c r="D61" s="905">
        <v>-1255216.9099539334</v>
      </c>
      <c r="E61" s="906">
        <v>1</v>
      </c>
      <c r="F61" s="907">
        <v>1</v>
      </c>
      <c r="G61" s="908">
        <v>1</v>
      </c>
      <c r="H61" s="358">
        <f>H60</f>
        <v>9.4490855863003556E-2</v>
      </c>
      <c r="I61" s="359">
        <f t="shared" si="3"/>
        <v>-118606.52011526184</v>
      </c>
      <c r="J61" s="353"/>
      <c r="K61" s="62"/>
      <c r="L61" s="62"/>
      <c r="M61" s="357"/>
      <c r="N61" s="126"/>
      <c r="O61" s="126"/>
      <c r="P61" s="126"/>
    </row>
    <row r="62" spans="1:16">
      <c r="A62" s="326" t="s">
        <v>1258</v>
      </c>
      <c r="B62" s="62"/>
      <c r="C62" s="909" t="s">
        <v>1630</v>
      </c>
      <c r="D62" s="905">
        <v>-1223348.4248534336</v>
      </c>
      <c r="E62" s="906">
        <v>1</v>
      </c>
      <c r="F62" s="907">
        <v>1</v>
      </c>
      <c r="G62" s="908">
        <v>1</v>
      </c>
      <c r="H62" s="358">
        <f>H61</f>
        <v>9.4490855863003556E-2</v>
      </c>
      <c r="I62" s="359">
        <f t="shared" si="3"/>
        <v>-115595.23968305823</v>
      </c>
      <c r="J62" s="353"/>
      <c r="K62" s="62"/>
      <c r="L62" s="62"/>
      <c r="M62" s="357"/>
      <c r="N62" s="126"/>
      <c r="O62" s="126"/>
      <c r="P62" s="126"/>
    </row>
    <row r="63" spans="1:16">
      <c r="A63" s="326" t="s">
        <v>1588</v>
      </c>
      <c r="B63" s="62"/>
      <c r="C63" s="909" t="s">
        <v>1631</v>
      </c>
      <c r="D63" s="905">
        <v>-277222.80528260273</v>
      </c>
      <c r="E63" s="906">
        <v>1</v>
      </c>
      <c r="F63" s="907">
        <v>1</v>
      </c>
      <c r="G63" s="908">
        <v>1</v>
      </c>
      <c r="H63" s="358">
        <f t="shared" ref="H63:H65" si="5">H62</f>
        <v>9.4490855863003556E-2</v>
      </c>
      <c r="I63" s="359">
        <f t="shared" si="3"/>
        <v>-26195.020135895917</v>
      </c>
      <c r="J63" s="353"/>
      <c r="K63" s="62"/>
      <c r="L63" s="62"/>
      <c r="M63" s="357"/>
      <c r="N63" s="126"/>
      <c r="O63" s="126"/>
      <c r="P63" s="126"/>
    </row>
    <row r="64" spans="1:16">
      <c r="A64" s="326" t="s">
        <v>1586</v>
      </c>
      <c r="B64" s="62"/>
      <c r="C64" s="909" t="s">
        <v>1632</v>
      </c>
      <c r="D64" s="905">
        <v>-4196387.5129533038</v>
      </c>
      <c r="E64" s="906">
        <v>1</v>
      </c>
      <c r="F64" s="907">
        <v>1</v>
      </c>
      <c r="G64" s="908">
        <v>1</v>
      </c>
      <c r="H64" s="358">
        <f t="shared" si="5"/>
        <v>9.4490855863003556E-2</v>
      </c>
      <c r="I64" s="359">
        <f t="shared" si="3"/>
        <v>-396520.24763177859</v>
      </c>
      <c r="J64" s="353"/>
      <c r="K64" s="62"/>
      <c r="L64" s="62"/>
      <c r="M64" s="357"/>
      <c r="N64" s="126"/>
      <c r="O64" s="126"/>
      <c r="P64" s="126"/>
    </row>
    <row r="65" spans="1:16">
      <c r="A65" s="326" t="s">
        <v>1587</v>
      </c>
      <c r="B65" s="62"/>
      <c r="C65" s="909" t="s">
        <v>1633</v>
      </c>
      <c r="D65" s="905">
        <v>-151547.50756459308</v>
      </c>
      <c r="E65" s="906">
        <v>1</v>
      </c>
      <c r="F65" s="907">
        <v>1</v>
      </c>
      <c r="G65" s="908">
        <v>1</v>
      </c>
      <c r="H65" s="358">
        <f t="shared" si="5"/>
        <v>9.4490855863003556E-2</v>
      </c>
      <c r="I65" s="359">
        <f t="shared" si="3"/>
        <v>-14319.853693683406</v>
      </c>
      <c r="J65" s="353"/>
      <c r="K65" s="62"/>
      <c r="L65" s="62"/>
      <c r="M65" s="357"/>
      <c r="N65" s="126"/>
      <c r="O65" s="126"/>
      <c r="P65" s="126"/>
    </row>
    <row r="66" spans="1:16" ht="3.6" customHeight="1">
      <c r="A66" s="326"/>
      <c r="B66" s="62"/>
      <c r="C66" s="909"/>
      <c r="D66" s="910"/>
      <c r="E66" s="906"/>
      <c r="F66" s="907"/>
      <c r="G66" s="908"/>
      <c r="H66" s="358"/>
      <c r="I66" s="359"/>
      <c r="J66" s="353"/>
      <c r="K66" s="62"/>
      <c r="L66" s="62"/>
      <c r="M66" s="357"/>
      <c r="N66" s="126"/>
      <c r="O66" s="126"/>
      <c r="P66" s="126"/>
    </row>
    <row r="67" spans="1:16" ht="3.6" customHeight="1">
      <c r="A67" s="326"/>
      <c r="B67" s="62"/>
      <c r="C67" s="909"/>
      <c r="D67" s="910"/>
      <c r="E67" s="906"/>
      <c r="F67" s="907"/>
      <c r="G67" s="908"/>
      <c r="H67" s="358"/>
      <c r="I67" s="359"/>
      <c r="J67" s="353"/>
      <c r="K67" s="62"/>
      <c r="L67" s="62"/>
      <c r="M67" s="357"/>
      <c r="N67" s="126"/>
      <c r="O67" s="126"/>
      <c r="P67" s="126"/>
    </row>
    <row r="68" spans="1:16" ht="3.6" customHeight="1">
      <c r="A68" s="326"/>
      <c r="B68" s="62"/>
      <c r="C68" s="909"/>
      <c r="D68" s="910"/>
      <c r="E68" s="906"/>
      <c r="F68" s="907"/>
      <c r="G68" s="908"/>
      <c r="H68" s="358"/>
      <c r="I68" s="359"/>
      <c r="J68" s="353"/>
      <c r="K68" s="62"/>
      <c r="L68" s="62"/>
      <c r="M68" s="357"/>
      <c r="N68" s="126"/>
      <c r="O68" s="126"/>
      <c r="P68" s="126"/>
    </row>
    <row r="69" spans="1:16" ht="3.6" customHeight="1">
      <c r="A69" s="326"/>
      <c r="B69" s="62"/>
      <c r="C69" s="904"/>
      <c r="D69" s="876"/>
      <c r="E69" s="905"/>
      <c r="F69" s="911"/>
      <c r="G69" s="911"/>
      <c r="H69" s="178"/>
      <c r="I69" s="359"/>
      <c r="J69" s="353"/>
      <c r="K69" s="62"/>
      <c r="L69" s="62"/>
      <c r="M69" s="357"/>
      <c r="N69" s="126"/>
      <c r="O69" s="126"/>
      <c r="P69" s="126"/>
    </row>
    <row r="70" spans="1:16">
      <c r="A70" s="326" t="s">
        <v>1131</v>
      </c>
      <c r="B70" s="62"/>
      <c r="C70" s="912" t="s">
        <v>296</v>
      </c>
      <c r="D70" s="913">
        <v>0</v>
      </c>
      <c r="E70" s="914">
        <v>0</v>
      </c>
      <c r="F70" s="915"/>
      <c r="G70" s="915"/>
      <c r="H70" s="360"/>
      <c r="I70" s="361">
        <f>+H70*E70*D70</f>
        <v>0</v>
      </c>
      <c r="J70" s="353"/>
      <c r="K70" s="62"/>
      <c r="L70" s="62"/>
      <c r="M70" s="357"/>
      <c r="N70" s="126"/>
      <c r="O70" s="126"/>
      <c r="P70" s="126"/>
    </row>
    <row r="71" spans="1:16">
      <c r="A71" s="326">
        <v>31</v>
      </c>
      <c r="B71" s="62"/>
      <c r="C71" s="353" t="s">
        <v>13</v>
      </c>
      <c r="D71" s="56">
        <f>SUM(D53:D70)</f>
        <v>-60901009.888062768</v>
      </c>
      <c r="E71" s="162"/>
      <c r="F71" s="126"/>
      <c r="G71" s="126"/>
      <c r="H71" s="162"/>
      <c r="I71" s="359">
        <f>SUM(I53:I70)</f>
        <v>-5754588.5472442936</v>
      </c>
      <c r="J71" s="353"/>
      <c r="K71" s="62"/>
      <c r="L71" s="62"/>
      <c r="M71" s="357"/>
      <c r="N71" s="126"/>
      <c r="O71" s="126"/>
      <c r="P71" s="126"/>
    </row>
    <row r="72" spans="1:16" ht="3.6" customHeight="1">
      <c r="A72" s="362"/>
      <c r="B72" s="363"/>
      <c r="C72" s="364"/>
      <c r="D72" s="364"/>
      <c r="E72" s="364"/>
      <c r="F72" s="364"/>
      <c r="G72" s="364"/>
      <c r="I72" s="62"/>
      <c r="J72" s="62"/>
      <c r="K72" s="62"/>
    </row>
    <row r="73" spans="1:16" ht="3.6" customHeight="1">
      <c r="A73" s="362"/>
      <c r="B73" s="363"/>
      <c r="C73" s="364"/>
      <c r="D73" s="364"/>
      <c r="E73" s="364"/>
      <c r="F73" s="364"/>
      <c r="G73" s="364"/>
      <c r="L73" s="126"/>
      <c r="M73" s="126"/>
      <c r="N73" s="126"/>
      <c r="O73" s="126"/>
      <c r="P73" s="126"/>
    </row>
    <row r="74" spans="1:16" ht="3.6" customHeight="1">
      <c r="A74" s="362"/>
      <c r="B74" s="363"/>
      <c r="C74" s="364"/>
      <c r="D74" s="364"/>
      <c r="E74" s="364"/>
      <c r="F74" s="364"/>
      <c r="G74" s="364"/>
      <c r="L74" s="126"/>
      <c r="M74" s="126"/>
      <c r="N74" s="126"/>
      <c r="O74" s="126"/>
      <c r="P74" s="126"/>
    </row>
    <row r="75" spans="1:16" ht="13.5" thickBot="1">
      <c r="A75" s="365" t="s">
        <v>182</v>
      </c>
    </row>
    <row r="76" spans="1:16" ht="12.75" customHeight="1">
      <c r="A76" s="326" t="s">
        <v>58</v>
      </c>
      <c r="B76" s="1030" t="s">
        <v>335</v>
      </c>
      <c r="C76" s="1030"/>
      <c r="D76" s="1030"/>
      <c r="E76" s="1030"/>
      <c r="F76" s="1030"/>
      <c r="G76" s="1030"/>
      <c r="H76" s="1030"/>
      <c r="I76" s="1030"/>
      <c r="J76" s="1030"/>
      <c r="K76" s="1030"/>
    </row>
    <row r="77" spans="1:16" ht="12.75" customHeight="1">
      <c r="A77" s="326" t="s">
        <v>59</v>
      </c>
      <c r="B77" s="1030" t="s">
        <v>395</v>
      </c>
      <c r="C77" s="1030"/>
      <c r="D77" s="1030"/>
      <c r="E77" s="1030"/>
      <c r="F77" s="1030"/>
      <c r="G77" s="1030"/>
      <c r="H77" s="1030"/>
      <c r="I77" s="1030"/>
      <c r="J77" s="1030"/>
      <c r="K77" s="1030"/>
      <c r="L77" s="328"/>
    </row>
    <row r="78" spans="1:16" ht="12.75" customHeight="1">
      <c r="A78" s="326" t="s">
        <v>60</v>
      </c>
      <c r="B78" s="21" t="s">
        <v>396</v>
      </c>
      <c r="C78" s="366"/>
      <c r="D78" s="366"/>
      <c r="E78" s="366"/>
      <c r="F78" s="366"/>
      <c r="G78" s="366"/>
      <c r="H78" s="366"/>
      <c r="I78" s="366"/>
      <c r="J78" s="366"/>
      <c r="K78" s="366"/>
    </row>
    <row r="79" spans="1:16">
      <c r="A79" s="326"/>
      <c r="B79" s="367" t="s">
        <v>664</v>
      </c>
      <c r="C79" s="1010"/>
      <c r="D79" s="1010"/>
      <c r="E79" s="1010"/>
      <c r="F79" s="1010"/>
      <c r="G79" s="1010"/>
      <c r="H79" s="1010"/>
      <c r="I79" s="1010"/>
      <c r="J79" s="1010"/>
      <c r="K79" s="1010"/>
    </row>
    <row r="80" spans="1:16">
      <c r="A80" s="326"/>
      <c r="B80" s="367" t="s">
        <v>665</v>
      </c>
      <c r="C80" s="1010"/>
      <c r="D80" s="1010"/>
      <c r="E80" s="1010"/>
      <c r="F80" s="1010"/>
      <c r="G80" s="1010"/>
      <c r="H80" s="1010"/>
      <c r="I80" s="1010"/>
      <c r="J80" s="1010"/>
      <c r="K80" s="1010"/>
    </row>
    <row r="81" spans="1:11" ht="12.75" customHeight="1">
      <c r="A81" s="326" t="s">
        <v>61</v>
      </c>
      <c r="B81" s="21" t="s">
        <v>1150</v>
      </c>
    </row>
    <row r="82" spans="1:11" ht="30" customHeight="1">
      <c r="A82" s="320" t="s">
        <v>62</v>
      </c>
      <c r="B82" s="1044" t="s">
        <v>435</v>
      </c>
      <c r="C82" s="1044"/>
      <c r="D82" s="1044"/>
      <c r="E82" s="1044"/>
      <c r="F82" s="1044"/>
      <c r="G82" s="1044"/>
      <c r="H82" s="1044"/>
      <c r="I82" s="1044"/>
      <c r="J82" s="1044"/>
      <c r="K82" s="1009"/>
    </row>
    <row r="83" spans="1:11" ht="12.75" customHeight="1">
      <c r="A83" s="326" t="s">
        <v>63</v>
      </c>
      <c r="B83" s="1053" t="s">
        <v>336</v>
      </c>
      <c r="C83" s="1053"/>
      <c r="D83" s="1053"/>
      <c r="E83" s="1053"/>
      <c r="F83" s="1053"/>
      <c r="G83" s="1053"/>
      <c r="H83" s="1053"/>
      <c r="I83" s="1053"/>
      <c r="J83" s="1053"/>
      <c r="K83" s="1053"/>
    </row>
    <row r="84" spans="1:11" ht="43.5" customHeight="1">
      <c r="A84" s="320" t="s">
        <v>64</v>
      </c>
      <c r="B84" s="1044" t="s">
        <v>397</v>
      </c>
      <c r="C84" s="1044"/>
      <c r="D84" s="1044"/>
      <c r="E84" s="1044"/>
      <c r="F84" s="1044"/>
      <c r="G84" s="1044"/>
      <c r="H84" s="1044"/>
      <c r="I84" s="1044"/>
      <c r="J84" s="1044"/>
      <c r="K84" s="1009"/>
    </row>
    <row r="85" spans="1:11">
      <c r="A85" s="326" t="s">
        <v>65</v>
      </c>
      <c r="B85" s="368" t="s">
        <v>1183</v>
      </c>
    </row>
    <row r="86" spans="1:11">
      <c r="A86" s="326" t="s">
        <v>66</v>
      </c>
      <c r="B86" s="21" t="s">
        <v>448</v>
      </c>
    </row>
    <row r="87" spans="1:11">
      <c r="A87" s="326" t="s">
        <v>67</v>
      </c>
      <c r="B87" s="21" t="s">
        <v>1144</v>
      </c>
    </row>
    <row r="88" spans="1:11" ht="42.6" customHeight="1">
      <c r="A88" s="320" t="s">
        <v>99</v>
      </c>
      <c r="B88" s="1044" t="s">
        <v>1186</v>
      </c>
      <c r="C88" s="1044"/>
      <c r="D88" s="1044"/>
      <c r="E88" s="1044"/>
      <c r="F88" s="1044"/>
      <c r="G88" s="1044"/>
      <c r="H88" s="1044"/>
      <c r="I88" s="1044"/>
      <c r="J88" s="1044"/>
    </row>
    <row r="89" spans="1:11" ht="30" customHeight="1">
      <c r="A89" s="320" t="s">
        <v>1566</v>
      </c>
      <c r="B89" s="1044" t="s">
        <v>1574</v>
      </c>
      <c r="C89" s="1044"/>
      <c r="D89" s="1044"/>
      <c r="E89" s="1044"/>
      <c r="F89" s="1044"/>
      <c r="G89" s="1044"/>
      <c r="H89" s="1044"/>
      <c r="I89" s="1044"/>
      <c r="J89" s="1044"/>
    </row>
    <row r="90" spans="1:11" ht="31.9" customHeight="1">
      <c r="C90" s="1011" t="s">
        <v>45</v>
      </c>
      <c r="D90" s="1011" t="s">
        <v>1345</v>
      </c>
      <c r="E90" s="1011" t="s">
        <v>1412</v>
      </c>
      <c r="F90" s="1011" t="s">
        <v>698</v>
      </c>
      <c r="G90" s="1011" t="s">
        <v>1346</v>
      </c>
      <c r="H90" s="1011" t="s">
        <v>1347</v>
      </c>
      <c r="J90" s="903" t="s">
        <v>1469</v>
      </c>
      <c r="K90" s="903" t="s">
        <v>1470</v>
      </c>
    </row>
    <row r="91" spans="1:11">
      <c r="A91" s="323" t="s">
        <v>1348</v>
      </c>
      <c r="B91" s="1013" t="s">
        <v>1335</v>
      </c>
      <c r="C91" s="1013" t="s">
        <v>853</v>
      </c>
      <c r="D91" s="900">
        <v>20334.670000000016</v>
      </c>
      <c r="E91" s="900">
        <v>0</v>
      </c>
      <c r="F91" s="42">
        <f>J91*K91</f>
        <v>0</v>
      </c>
      <c r="G91" s="900">
        <v>0</v>
      </c>
      <c r="H91" s="900">
        <v>0</v>
      </c>
      <c r="J91" s="1014">
        <v>0</v>
      </c>
      <c r="K91" s="1014">
        <v>0</v>
      </c>
    </row>
    <row r="92" spans="1:11">
      <c r="A92" s="323" t="s">
        <v>1349</v>
      </c>
      <c r="B92" s="1013" t="s">
        <v>1336</v>
      </c>
      <c r="C92" s="1013" t="s">
        <v>1468</v>
      </c>
      <c r="D92" s="900">
        <v>58423.350000000013</v>
      </c>
      <c r="E92" s="900">
        <v>131.22000000000844</v>
      </c>
      <c r="F92" s="42">
        <f>J92*K92</f>
        <v>7.3211515122655155E-2</v>
      </c>
      <c r="G92" s="900">
        <v>4277.2619720411758</v>
      </c>
      <c r="H92" s="900">
        <v>9.6068150143954281</v>
      </c>
      <c r="J92" s="1014">
        <v>0.77480000000000004</v>
      </c>
      <c r="K92" s="1014">
        <v>9.4490855863003556E-2</v>
      </c>
    </row>
    <row r="93" spans="1:11">
      <c r="A93" s="323" t="s">
        <v>1350</v>
      </c>
      <c r="B93" s="1013" t="s">
        <v>1337</v>
      </c>
      <c r="C93" s="1013" t="s">
        <v>853</v>
      </c>
      <c r="D93" s="900">
        <v>23723.019999999928</v>
      </c>
      <c r="E93" s="900">
        <v>5456.3049999999748</v>
      </c>
      <c r="F93" s="42">
        <f t="shared" ref="F93:F115" si="6">J93*K93</f>
        <v>0</v>
      </c>
      <c r="G93" s="900">
        <v>0</v>
      </c>
      <c r="H93" s="900">
        <v>0</v>
      </c>
      <c r="J93" s="1014">
        <v>0</v>
      </c>
      <c r="K93" s="1014">
        <v>0</v>
      </c>
    </row>
    <row r="94" spans="1:11">
      <c r="A94" s="323" t="s">
        <v>1351</v>
      </c>
      <c r="B94" s="1013" t="s">
        <v>1337</v>
      </c>
      <c r="C94" s="1013" t="s">
        <v>854</v>
      </c>
      <c r="D94" s="900">
        <v>0</v>
      </c>
      <c r="E94" s="900">
        <v>16368.914999999924</v>
      </c>
      <c r="F94" s="42">
        <f t="shared" si="6"/>
        <v>1</v>
      </c>
      <c r="G94" s="900">
        <v>0</v>
      </c>
      <c r="H94" s="900">
        <v>16368.914999999924</v>
      </c>
      <c r="J94" s="1014">
        <v>1</v>
      </c>
      <c r="K94" s="1014">
        <v>1</v>
      </c>
    </row>
    <row r="95" spans="1:11">
      <c r="A95" s="323" t="s">
        <v>1352</v>
      </c>
      <c r="B95" s="1013" t="s">
        <v>1338</v>
      </c>
      <c r="C95" s="1013" t="s">
        <v>1468</v>
      </c>
      <c r="D95" s="900">
        <v>321536.46000000008</v>
      </c>
      <c r="E95" s="900">
        <v>336859.16000000009</v>
      </c>
      <c r="F95" s="42">
        <f t="shared" si="6"/>
        <v>7.5384758781607969E-2</v>
      </c>
      <c r="G95" s="900">
        <v>24238.948476592144</v>
      </c>
      <c r="H95" s="900">
        <v>25394.046519975091</v>
      </c>
      <c r="J95" s="1014">
        <v>0.79779951290634588</v>
      </c>
      <c r="K95" s="1014">
        <v>9.4490855863003556E-2</v>
      </c>
    </row>
    <row r="96" spans="1:11">
      <c r="A96" s="323" t="s">
        <v>1353</v>
      </c>
      <c r="B96" s="1013" t="s">
        <v>1339</v>
      </c>
      <c r="C96" s="1013" t="s">
        <v>853</v>
      </c>
      <c r="D96" s="900">
        <v>399.97000000001208</v>
      </c>
      <c r="E96" s="900">
        <v>0</v>
      </c>
      <c r="F96" s="42">
        <f>J96*K96</f>
        <v>0</v>
      </c>
      <c r="G96" s="900">
        <v>0</v>
      </c>
      <c r="H96" s="900">
        <v>0</v>
      </c>
      <c r="J96" s="1014">
        <v>0</v>
      </c>
      <c r="K96" s="1014">
        <v>0</v>
      </c>
    </row>
    <row r="97" spans="1:11">
      <c r="A97" s="323" t="s">
        <v>1354</v>
      </c>
      <c r="B97" s="1013" t="s">
        <v>1619</v>
      </c>
      <c r="C97" s="1013" t="s">
        <v>1468</v>
      </c>
      <c r="D97" s="900">
        <v>598296</v>
      </c>
      <c r="E97" s="900">
        <v>338557.20999999956</v>
      </c>
      <c r="F97" s="42">
        <f t="shared" si="6"/>
        <v>7.3211515122655155E-2</v>
      </c>
      <c r="G97" s="900">
        <v>43802.156651824087</v>
      </c>
      <c r="H97" s="900">
        <v>24786.286299798903</v>
      </c>
      <c r="J97" s="1014">
        <v>0.77480000000000004</v>
      </c>
      <c r="K97" s="1014">
        <v>9.4490855863003556E-2</v>
      </c>
    </row>
    <row r="98" spans="1:11">
      <c r="A98" s="323" t="s">
        <v>1355</v>
      </c>
      <c r="B98" s="1013" t="s">
        <v>1619</v>
      </c>
      <c r="C98" s="1013" t="s">
        <v>1468</v>
      </c>
      <c r="D98" s="900">
        <v>0</v>
      </c>
      <c r="E98" s="900">
        <v>0</v>
      </c>
      <c r="F98" s="42">
        <f>J98*K98</f>
        <v>7.5384758781607969E-2</v>
      </c>
      <c r="G98" s="900">
        <v>0</v>
      </c>
      <c r="H98" s="900">
        <v>0</v>
      </c>
      <c r="J98" s="1014">
        <v>0.79779951290634588</v>
      </c>
      <c r="K98" s="1014">
        <v>9.4490855863003556E-2</v>
      </c>
    </row>
    <row r="99" spans="1:11">
      <c r="A99" s="323" t="s">
        <v>1356</v>
      </c>
      <c r="B99" s="1013" t="s">
        <v>1619</v>
      </c>
      <c r="C99" s="1013" t="s">
        <v>853</v>
      </c>
      <c r="D99" s="900">
        <v>1317780</v>
      </c>
      <c r="E99" s="900">
        <v>1241293.8200000003</v>
      </c>
      <c r="F99" s="42">
        <f t="shared" si="6"/>
        <v>0</v>
      </c>
      <c r="G99" s="900">
        <v>0</v>
      </c>
      <c r="H99" s="900">
        <v>0</v>
      </c>
      <c r="J99" s="1014">
        <v>0</v>
      </c>
      <c r="K99" s="1014">
        <v>0</v>
      </c>
    </row>
    <row r="100" spans="1:11">
      <c r="A100" s="323" t="s">
        <v>1357</v>
      </c>
      <c r="B100" s="1013" t="s">
        <v>1340</v>
      </c>
      <c r="C100" s="1013" t="s">
        <v>853</v>
      </c>
      <c r="D100" s="900">
        <v>650425.93999999994</v>
      </c>
      <c r="E100" s="900">
        <v>594515.18999999994</v>
      </c>
      <c r="F100" s="42">
        <f>J100*K100</f>
        <v>0</v>
      </c>
      <c r="G100" s="900">
        <v>0</v>
      </c>
      <c r="H100" s="900">
        <v>0</v>
      </c>
      <c r="J100" s="1014">
        <v>0</v>
      </c>
      <c r="K100" s="1014">
        <v>0</v>
      </c>
    </row>
    <row r="101" spans="1:11">
      <c r="A101" s="323" t="s">
        <v>1358</v>
      </c>
      <c r="B101" s="1013" t="s">
        <v>1620</v>
      </c>
      <c r="C101" s="1013" t="s">
        <v>854</v>
      </c>
      <c r="D101" s="900">
        <v>1334854.2003656665</v>
      </c>
      <c r="E101" s="900">
        <v>964039.13986799889</v>
      </c>
      <c r="F101" s="42">
        <f t="shared" si="6"/>
        <v>1</v>
      </c>
      <c r="G101" s="900">
        <v>1334854.2003656665</v>
      </c>
      <c r="H101" s="900">
        <v>964039.13986799889</v>
      </c>
      <c r="J101" s="1014">
        <v>1</v>
      </c>
      <c r="K101" s="1014">
        <v>1</v>
      </c>
    </row>
    <row r="102" spans="1:11">
      <c r="A102" s="323" t="s">
        <v>1359</v>
      </c>
      <c r="B102" s="1013" t="s">
        <v>1620</v>
      </c>
      <c r="C102" s="1013" t="s">
        <v>853</v>
      </c>
      <c r="D102" s="900">
        <v>276561.95713433332</v>
      </c>
      <c r="E102" s="900">
        <v>415497.0576319996</v>
      </c>
      <c r="F102" s="42">
        <f t="shared" si="6"/>
        <v>0</v>
      </c>
      <c r="G102" s="900">
        <v>0</v>
      </c>
      <c r="H102" s="900">
        <v>0</v>
      </c>
      <c r="J102" s="1014">
        <v>0</v>
      </c>
      <c r="K102" s="1014">
        <v>0</v>
      </c>
    </row>
    <row r="103" spans="1:11">
      <c r="A103" s="323" t="s">
        <v>1360</v>
      </c>
      <c r="B103" s="1013" t="s">
        <v>1592</v>
      </c>
      <c r="C103" s="1013" t="s">
        <v>853</v>
      </c>
      <c r="D103" s="900">
        <v>0</v>
      </c>
      <c r="E103" s="900">
        <v>0</v>
      </c>
      <c r="F103" s="42">
        <f t="shared" si="6"/>
        <v>0</v>
      </c>
      <c r="G103" s="900">
        <v>0</v>
      </c>
      <c r="H103" s="900">
        <v>0</v>
      </c>
      <c r="J103" s="1014">
        <v>0</v>
      </c>
      <c r="K103" s="1014">
        <v>0</v>
      </c>
    </row>
    <row r="104" spans="1:11">
      <c r="A104" s="323" t="s">
        <v>1361</v>
      </c>
      <c r="B104" s="1013" t="s">
        <v>1341</v>
      </c>
      <c r="C104" s="1013" t="s">
        <v>1468</v>
      </c>
      <c r="D104" s="900">
        <v>0</v>
      </c>
      <c r="E104" s="900">
        <v>0</v>
      </c>
      <c r="F104" s="42">
        <f t="shared" si="6"/>
        <v>7.3211515122655155E-2</v>
      </c>
      <c r="G104" s="900">
        <v>0</v>
      </c>
      <c r="H104" s="900">
        <v>0</v>
      </c>
      <c r="J104" s="1014">
        <v>0.77480000000000004</v>
      </c>
      <c r="K104" s="1014">
        <v>9.4490855863003556E-2</v>
      </c>
    </row>
    <row r="105" spans="1:11">
      <c r="A105" s="323" t="s">
        <v>1362</v>
      </c>
      <c r="B105" s="1013" t="s">
        <v>1342</v>
      </c>
      <c r="C105" s="1013" t="s">
        <v>853</v>
      </c>
      <c r="D105" s="900">
        <v>4635978.5199999958</v>
      </c>
      <c r="E105" s="900">
        <v>4427073.2699999958</v>
      </c>
      <c r="F105" s="42">
        <f t="shared" si="6"/>
        <v>0</v>
      </c>
      <c r="G105" s="900">
        <v>0</v>
      </c>
      <c r="H105" s="900">
        <v>0</v>
      </c>
      <c r="J105" s="1014">
        <v>0</v>
      </c>
      <c r="K105" s="1014">
        <v>0</v>
      </c>
    </row>
    <row r="106" spans="1:11">
      <c r="A106" s="323" t="s">
        <v>1363</v>
      </c>
      <c r="B106" s="1013" t="s">
        <v>1343</v>
      </c>
      <c r="C106" s="1013" t="s">
        <v>1468</v>
      </c>
      <c r="D106" s="900">
        <v>13000</v>
      </c>
      <c r="E106" s="900">
        <v>2000</v>
      </c>
      <c r="F106" s="42">
        <f t="shared" si="6"/>
        <v>7.5384758781607969E-2</v>
      </c>
      <c r="G106" s="900">
        <v>980.00186416090355</v>
      </c>
      <c r="H106" s="900">
        <v>150.76951756321594</v>
      </c>
      <c r="J106" s="1014">
        <v>0.79779951290634588</v>
      </c>
      <c r="K106" s="1014">
        <v>9.4490855863003556E-2</v>
      </c>
    </row>
    <row r="107" spans="1:11">
      <c r="A107" s="323" t="s">
        <v>1364</v>
      </c>
      <c r="B107" s="1013" t="s">
        <v>1593</v>
      </c>
      <c r="C107" s="1013" t="s">
        <v>853</v>
      </c>
      <c r="D107" s="900">
        <v>236260.81000000006</v>
      </c>
      <c r="E107" s="900">
        <v>268710.83</v>
      </c>
      <c r="F107" s="42">
        <f t="shared" si="6"/>
        <v>0</v>
      </c>
      <c r="G107" s="900">
        <v>0</v>
      </c>
      <c r="H107" s="900">
        <v>0</v>
      </c>
      <c r="J107" s="1014">
        <v>0</v>
      </c>
      <c r="K107" s="1014">
        <v>0</v>
      </c>
    </row>
    <row r="108" spans="1:11">
      <c r="A108" s="323" t="s">
        <v>1365</v>
      </c>
      <c r="B108" s="1013" t="s">
        <v>1344</v>
      </c>
      <c r="C108" s="1013" t="s">
        <v>1468</v>
      </c>
      <c r="D108" s="900">
        <v>834280.70000000019</v>
      </c>
      <c r="E108" s="900">
        <v>135265.08000000031</v>
      </c>
      <c r="F108" s="42">
        <f t="shared" si="6"/>
        <v>7.5384758781607969E-2</v>
      </c>
      <c r="G108" s="900">
        <v>62892.04932565106</v>
      </c>
      <c r="H108" s="900">
        <v>10196.925427374928</v>
      </c>
      <c r="J108" s="1014">
        <v>0.79779951290634588</v>
      </c>
      <c r="K108" s="1014">
        <v>9.4490855863003556E-2</v>
      </c>
    </row>
    <row r="109" spans="1:11">
      <c r="A109" s="323" t="s">
        <v>1366</v>
      </c>
      <c r="B109" s="1013" t="s">
        <v>1589</v>
      </c>
      <c r="C109" s="1013" t="s">
        <v>854</v>
      </c>
      <c r="D109" s="900">
        <v>13434.624</v>
      </c>
      <c r="E109" s="900">
        <v>10075.968000000001</v>
      </c>
      <c r="F109" s="42">
        <f t="shared" si="6"/>
        <v>1</v>
      </c>
      <c r="G109" s="900">
        <v>13434.624</v>
      </c>
      <c r="H109" s="900">
        <v>10075.968000000001</v>
      </c>
      <c r="J109" s="1014">
        <v>1</v>
      </c>
      <c r="K109" s="1014">
        <v>1</v>
      </c>
    </row>
    <row r="110" spans="1:11">
      <c r="A110" s="323" t="s">
        <v>1367</v>
      </c>
      <c r="B110" s="1013" t="s">
        <v>1589</v>
      </c>
      <c r="C110" s="1013" t="s">
        <v>853</v>
      </c>
      <c r="D110" s="900">
        <v>126509</v>
      </c>
      <c r="E110" s="900">
        <v>94882.031999999992</v>
      </c>
      <c r="F110" s="42">
        <f t="shared" si="6"/>
        <v>0</v>
      </c>
      <c r="G110" s="900">
        <v>0</v>
      </c>
      <c r="H110" s="900">
        <v>0</v>
      </c>
      <c r="J110" s="1014">
        <v>0</v>
      </c>
      <c r="K110" s="1014">
        <v>0</v>
      </c>
    </row>
    <row r="111" spans="1:11">
      <c r="A111" s="323" t="s">
        <v>1368</v>
      </c>
      <c r="B111" s="1013" t="s">
        <v>1594</v>
      </c>
      <c r="C111" s="1013" t="s">
        <v>853</v>
      </c>
      <c r="D111" s="900">
        <v>173775</v>
      </c>
      <c r="E111" s="900">
        <v>3050.0000000000291</v>
      </c>
      <c r="F111" s="42">
        <f t="shared" si="6"/>
        <v>0</v>
      </c>
      <c r="G111" s="900">
        <v>0</v>
      </c>
      <c r="H111" s="900">
        <v>0</v>
      </c>
      <c r="J111" s="1014">
        <v>0</v>
      </c>
      <c r="K111" s="1014">
        <v>0</v>
      </c>
    </row>
    <row r="112" spans="1:11">
      <c r="A112" s="323" t="s">
        <v>1624</v>
      </c>
      <c r="B112" s="1013" t="s">
        <v>1621</v>
      </c>
      <c r="C112" s="1013" t="s">
        <v>854</v>
      </c>
      <c r="D112" s="900">
        <v>0</v>
      </c>
      <c r="E112" s="900">
        <v>18293.820000000065</v>
      </c>
      <c r="F112" s="42">
        <f t="shared" si="6"/>
        <v>1</v>
      </c>
      <c r="G112" s="900">
        <v>0</v>
      </c>
      <c r="H112" s="900">
        <v>18293.820000000065</v>
      </c>
      <c r="J112" s="1014">
        <v>1</v>
      </c>
      <c r="K112" s="1014">
        <v>1</v>
      </c>
    </row>
    <row r="113" spans="1:11">
      <c r="A113" s="323" t="s">
        <v>1625</v>
      </c>
      <c r="B113" s="1013" t="s">
        <v>1622</v>
      </c>
      <c r="C113" s="1013" t="s">
        <v>853</v>
      </c>
      <c r="D113" s="900">
        <v>0</v>
      </c>
      <c r="E113" s="900">
        <v>272073.71000000008</v>
      </c>
      <c r="F113" s="42">
        <f t="shared" si="6"/>
        <v>0</v>
      </c>
      <c r="G113" s="900">
        <v>0</v>
      </c>
      <c r="H113" s="900">
        <v>0</v>
      </c>
      <c r="J113" s="1014">
        <v>0</v>
      </c>
      <c r="K113" s="1014">
        <v>0</v>
      </c>
    </row>
    <row r="114" spans="1:11">
      <c r="A114" s="323" t="s">
        <v>1626</v>
      </c>
      <c r="B114" s="1013" t="s">
        <v>1623</v>
      </c>
      <c r="C114" s="1013" t="s">
        <v>853</v>
      </c>
      <c r="D114" s="900">
        <v>0</v>
      </c>
      <c r="E114" s="900">
        <v>153930</v>
      </c>
      <c r="F114" s="42">
        <f t="shared" si="6"/>
        <v>0</v>
      </c>
      <c r="G114" s="900">
        <v>0</v>
      </c>
      <c r="H114" s="900">
        <v>0</v>
      </c>
      <c r="J114" s="1014">
        <v>0</v>
      </c>
      <c r="K114" s="1014">
        <v>0</v>
      </c>
    </row>
    <row r="115" spans="1:11">
      <c r="A115" s="323" t="s">
        <v>1627</v>
      </c>
      <c r="B115" s="1013" t="s">
        <v>1623</v>
      </c>
      <c r="C115" s="1013" t="s">
        <v>854</v>
      </c>
      <c r="D115" s="900">
        <v>0</v>
      </c>
      <c r="E115" s="900">
        <v>102620</v>
      </c>
      <c r="F115" s="42">
        <f t="shared" si="6"/>
        <v>1</v>
      </c>
      <c r="G115" s="900">
        <v>0</v>
      </c>
      <c r="H115" s="900">
        <v>102620</v>
      </c>
      <c r="J115" s="1014">
        <v>1</v>
      </c>
      <c r="K115" s="1014">
        <v>1</v>
      </c>
    </row>
    <row r="116" spans="1:11">
      <c r="A116" s="323" t="s">
        <v>296</v>
      </c>
      <c r="B116" s="901"/>
      <c r="C116" s="902"/>
      <c r="D116" s="900"/>
      <c r="E116" s="900"/>
      <c r="F116" s="42"/>
      <c r="G116" s="900"/>
      <c r="H116" s="900"/>
      <c r="J116" s="901"/>
      <c r="K116" s="901"/>
    </row>
    <row r="117" spans="1:11">
      <c r="A117" s="323" t="s">
        <v>1369</v>
      </c>
      <c r="B117" s="901"/>
      <c r="C117" s="902"/>
      <c r="D117" s="900"/>
      <c r="E117" s="900"/>
      <c r="F117" s="42"/>
      <c r="G117" s="900"/>
      <c r="H117" s="900"/>
      <c r="J117" s="901"/>
      <c r="K117" s="901"/>
    </row>
    <row r="118" spans="1:11">
      <c r="B118" s="21" t="s">
        <v>1370</v>
      </c>
      <c r="D118" s="39">
        <f>SUM(D91:D117)</f>
        <v>10635574.221499996</v>
      </c>
      <c r="E118" s="39">
        <f>SUM(E91:E117)</f>
        <v>9400692.7274999954</v>
      </c>
      <c r="G118" s="39">
        <f>SUM(G91:G117)</f>
        <v>1484479.2426559359</v>
      </c>
      <c r="H118" s="39">
        <f>SUM(H91:H117)</f>
        <v>1171935.4774477254</v>
      </c>
    </row>
  </sheetData>
  <sheetProtection algorithmName="SHA-512" hashValue="TuR2HngJf20l/D/ACFZgv43pA2W/T5VgP3/A4SggT3R3EMnSOj0ehUAHWnzNBJ3XVvS3S7TbY60MllKRxXfiVA==" saltValue="JBd2KtBsJjXmCTiVjrxURg==" spinCount="100000" sheet="1" objects="1" scenarios="1"/>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1">
    <mergeCell ref="B89:J89"/>
    <mergeCell ref="J6:L6"/>
    <mergeCell ref="C6:E6"/>
    <mergeCell ref="C26:I26"/>
    <mergeCell ref="E45:H45"/>
    <mergeCell ref="B76:K76"/>
    <mergeCell ref="B88:J88"/>
    <mergeCell ref="B77:K77"/>
    <mergeCell ref="B82:J82"/>
    <mergeCell ref="B83:K83"/>
    <mergeCell ref="B84:J84"/>
  </mergeCells>
  <phoneticPr fontId="0" type="noConversion"/>
  <pageMargins left="0.25" right="0.25" top="0.75" bottom="0.75" header="0.3" footer="0.3"/>
  <pageSetup scale="45" fitToHeight="0" orientation="landscape" r:id="rId2"/>
  <rowBreaks count="1" manualBreakCount="1">
    <brk id="4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00"/>
  <sheetViews>
    <sheetView view="pageBreakPreview" topLeftCell="A64" zoomScale="70" zoomScaleNormal="70" zoomScaleSheetLayoutView="70" workbookViewId="0">
      <selection activeCell="D94" sqref="D94:D95"/>
    </sheetView>
  </sheetViews>
  <sheetFormatPr defaultColWidth="8.88671875" defaultRowHeight="15"/>
  <cols>
    <col min="1" max="1" width="8.88671875" style="369"/>
    <col min="2" max="2" width="9.88671875" style="370" customWidth="1"/>
    <col min="3" max="3" width="19" style="370" customWidth="1"/>
    <col min="4" max="4" width="8.88671875" style="371"/>
    <col min="5" max="5" width="13.88671875" style="370" customWidth="1"/>
    <col min="6" max="6" width="16.44140625" style="370" customWidth="1"/>
    <col min="7" max="7" width="12.5546875" style="370" customWidth="1"/>
    <col min="8" max="8" width="12.6640625" style="370" customWidth="1"/>
    <col min="9" max="9" width="11.77734375" style="370" customWidth="1"/>
    <col min="10" max="10" width="13.21875" style="370" customWidth="1"/>
    <col min="11" max="11" width="11.88671875" style="370" bestFit="1" customWidth="1"/>
    <col min="12" max="12" width="17.33203125" style="370" customWidth="1"/>
    <col min="13" max="13" width="13.109375" style="370" customWidth="1"/>
    <col min="14" max="14" width="11.88671875" style="370" bestFit="1" customWidth="1"/>
    <col min="15" max="15" width="19.6640625" style="373" customWidth="1"/>
    <col min="16" max="18" width="8.88671875" style="373"/>
    <col min="19" max="19" width="11" style="373" customWidth="1"/>
    <col min="20" max="29" width="8.88671875" style="373"/>
    <col min="30" max="16384" width="8.88671875" style="370"/>
  </cols>
  <sheetData>
    <row r="1" spans="1:19" ht="15.75">
      <c r="M1" s="372"/>
    </row>
    <row r="2" spans="1:19" ht="15.75">
      <c r="G2" s="164" t="s">
        <v>1060</v>
      </c>
      <c r="M2" s="372" t="s">
        <v>450</v>
      </c>
    </row>
    <row r="3" spans="1:19" ht="15.75">
      <c r="G3" s="374" t="str">
        <f>'Attachment H-7'!$D$5</f>
        <v>PECO Energy Company</v>
      </c>
      <c r="M3" s="372" t="s">
        <v>422</v>
      </c>
    </row>
    <row r="4" spans="1:19">
      <c r="B4" s="375"/>
      <c r="C4" s="375"/>
      <c r="D4" s="376"/>
      <c r="E4" s="375"/>
      <c r="F4" s="375"/>
      <c r="G4" s="377" t="s">
        <v>451</v>
      </c>
      <c r="H4" s="375"/>
      <c r="I4" s="375"/>
      <c r="J4" s="375"/>
      <c r="K4" s="375"/>
      <c r="L4" s="375"/>
      <c r="M4" s="375"/>
    </row>
    <row r="5" spans="1:19" ht="15.75">
      <c r="E5" s="369"/>
      <c r="F5" s="369"/>
      <c r="G5" s="369"/>
      <c r="H5" s="369"/>
      <c r="I5" s="369"/>
      <c r="J5" s="369"/>
      <c r="K5" s="369"/>
      <c r="L5" s="369"/>
      <c r="M5" s="372" t="s">
        <v>1651</v>
      </c>
    </row>
    <row r="6" spans="1:19">
      <c r="E6" s="369"/>
      <c r="F6" s="369"/>
      <c r="G6" s="369"/>
      <c r="H6" s="369"/>
      <c r="I6" s="369"/>
      <c r="J6" s="369"/>
      <c r="K6" s="369"/>
      <c r="L6" s="369"/>
    </row>
    <row r="7" spans="1:19">
      <c r="A7" s="378" t="s">
        <v>452</v>
      </c>
      <c r="E7" s="369"/>
      <c r="F7" s="369"/>
      <c r="G7" s="369"/>
      <c r="H7" s="369"/>
      <c r="I7" s="369"/>
      <c r="J7" s="369"/>
      <c r="K7" s="369"/>
      <c r="L7" s="369"/>
    </row>
    <row r="8" spans="1:19">
      <c r="E8" s="369"/>
      <c r="F8" s="369"/>
      <c r="G8" s="369"/>
      <c r="H8" s="369"/>
      <c r="I8" s="369"/>
      <c r="J8" s="369"/>
      <c r="K8" s="369"/>
      <c r="L8" s="369"/>
    </row>
    <row r="9" spans="1:19">
      <c r="B9" s="370" t="s">
        <v>198</v>
      </c>
      <c r="C9" s="370" t="s">
        <v>199</v>
      </c>
      <c r="D9" s="371" t="s">
        <v>200</v>
      </c>
      <c r="E9" s="369" t="s">
        <v>201</v>
      </c>
      <c r="F9" s="369" t="s">
        <v>203</v>
      </c>
      <c r="G9" s="369" t="s">
        <v>202</v>
      </c>
      <c r="H9" s="369" t="s">
        <v>204</v>
      </c>
      <c r="I9" s="369" t="s">
        <v>1152</v>
      </c>
      <c r="J9" s="369" t="s">
        <v>206</v>
      </c>
      <c r="K9" s="369" t="s">
        <v>244</v>
      </c>
      <c r="L9" s="369" t="s">
        <v>248</v>
      </c>
      <c r="M9" s="369" t="s">
        <v>453</v>
      </c>
    </row>
    <row r="10" spans="1:19">
      <c r="B10" s="369" t="s">
        <v>454</v>
      </c>
      <c r="C10" s="370" t="s">
        <v>167</v>
      </c>
      <c r="D10" s="371" t="s">
        <v>75</v>
      </c>
      <c r="E10" s="369" t="s">
        <v>455</v>
      </c>
      <c r="F10" s="369" t="s">
        <v>456</v>
      </c>
      <c r="G10" s="379">
        <v>1</v>
      </c>
      <c r="H10" s="369" t="s">
        <v>457</v>
      </c>
      <c r="I10" s="369" t="s">
        <v>458</v>
      </c>
      <c r="J10" s="369" t="s">
        <v>1133</v>
      </c>
      <c r="K10" s="369" t="s">
        <v>459</v>
      </c>
      <c r="L10" s="369" t="s">
        <v>460</v>
      </c>
      <c r="M10" s="369" t="s">
        <v>227</v>
      </c>
    </row>
    <row r="11" spans="1:19">
      <c r="B11" s="369" t="s">
        <v>461</v>
      </c>
      <c r="E11" s="369" t="s">
        <v>462</v>
      </c>
      <c r="F11" s="369" t="s">
        <v>463</v>
      </c>
      <c r="G11" s="369" t="s">
        <v>17</v>
      </c>
      <c r="H11" s="379" t="s">
        <v>464</v>
      </c>
      <c r="I11" s="369" t="s">
        <v>465</v>
      </c>
      <c r="J11" s="379" t="s">
        <v>466</v>
      </c>
      <c r="K11" s="369" t="s">
        <v>467</v>
      </c>
      <c r="L11" s="379" t="s">
        <v>468</v>
      </c>
      <c r="M11" s="369" t="s">
        <v>469</v>
      </c>
    </row>
    <row r="12" spans="1:19">
      <c r="B12" s="369" t="s">
        <v>470</v>
      </c>
      <c r="E12" s="369"/>
      <c r="F12" s="369"/>
      <c r="G12" s="369"/>
      <c r="H12" s="380">
        <v>1</v>
      </c>
      <c r="I12" s="369"/>
      <c r="J12" s="381">
        <f>+'Attachment H-7'!G53</f>
        <v>0.18509112796332486</v>
      </c>
      <c r="K12" s="382"/>
      <c r="L12" s="381">
        <f>+'Attachment H-7'!I197</f>
        <v>9.4490855863003556E-2</v>
      </c>
      <c r="M12" s="369" t="s">
        <v>471</v>
      </c>
    </row>
    <row r="13" spans="1:19" ht="15.75">
      <c r="B13" s="369" t="s">
        <v>472</v>
      </c>
      <c r="E13" s="369"/>
      <c r="F13" s="369"/>
      <c r="G13" s="369"/>
      <c r="H13" s="383"/>
      <c r="I13" s="369"/>
      <c r="J13" s="369" t="s">
        <v>473</v>
      </c>
      <c r="K13" s="369"/>
      <c r="L13" s="369" t="s">
        <v>473</v>
      </c>
      <c r="M13" s="369"/>
      <c r="O13" s="384"/>
    </row>
    <row r="14" spans="1:19">
      <c r="B14" s="373"/>
      <c r="C14" s="385" t="s">
        <v>474</v>
      </c>
      <c r="E14" s="369"/>
      <c r="F14" s="369"/>
      <c r="G14" s="369"/>
      <c r="H14" s="369"/>
      <c r="I14" s="369"/>
      <c r="J14" s="369" t="s">
        <v>475</v>
      </c>
      <c r="K14" s="369"/>
      <c r="L14" s="369" t="s">
        <v>476</v>
      </c>
      <c r="M14" s="369"/>
    </row>
    <row r="15" spans="1:19" ht="16.5">
      <c r="A15" s="369">
        <v>1</v>
      </c>
      <c r="B15" s="370" t="s">
        <v>477</v>
      </c>
      <c r="C15" s="370" t="s">
        <v>196</v>
      </c>
      <c r="D15" s="925">
        <v>2019</v>
      </c>
      <c r="E15" s="386">
        <v>1</v>
      </c>
      <c r="F15" s="924">
        <v>0</v>
      </c>
      <c r="G15" s="924">
        <v>-200390142.88362911</v>
      </c>
      <c r="H15" s="923">
        <v>-200390142.88362911</v>
      </c>
      <c r="I15" s="924">
        <v>0</v>
      </c>
      <c r="J15" s="923">
        <v>0</v>
      </c>
      <c r="K15" s="924">
        <v>-31198495.823320538</v>
      </c>
      <c r="L15" s="923">
        <v>-2947972.5719838995</v>
      </c>
      <c r="M15" s="924">
        <v>-203338115.45561302</v>
      </c>
      <c r="N15" s="387"/>
      <c r="O15" s="388"/>
      <c r="P15" s="388"/>
      <c r="Q15" s="388"/>
      <c r="R15" s="388"/>
      <c r="S15" s="388"/>
    </row>
    <row r="16" spans="1:19" ht="15.75">
      <c r="A16" s="369">
        <v>2</v>
      </c>
      <c r="B16" s="370" t="s">
        <v>478</v>
      </c>
      <c r="C16" s="370" t="s">
        <v>84</v>
      </c>
      <c r="D16" s="918">
        <v>2020</v>
      </c>
      <c r="E16" s="386">
        <v>0.9178082191780822</v>
      </c>
      <c r="F16" s="923">
        <v>0</v>
      </c>
      <c r="G16" s="923">
        <v>-209279.97265445758</v>
      </c>
      <c r="H16" s="923">
        <v>-209279.97265445758</v>
      </c>
      <c r="I16" s="923">
        <v>0</v>
      </c>
      <c r="J16" s="923">
        <v>0</v>
      </c>
      <c r="K16" s="923">
        <v>-77939.382499999992</v>
      </c>
      <c r="L16" s="923">
        <v>-7364.5589578590007</v>
      </c>
      <c r="M16" s="924">
        <v>-198838.13175377002</v>
      </c>
      <c r="N16" s="389"/>
      <c r="O16" s="390"/>
      <c r="P16" s="388"/>
      <c r="Q16" s="388"/>
      <c r="R16" s="388"/>
      <c r="S16" s="388"/>
    </row>
    <row r="17" spans="1:19" ht="15.75">
      <c r="A17" s="369">
        <f>+A16+1</f>
        <v>3</v>
      </c>
      <c r="B17" s="370" t="s">
        <v>478</v>
      </c>
      <c r="C17" s="373" t="s">
        <v>83</v>
      </c>
      <c r="D17" s="918">
        <v>2020</v>
      </c>
      <c r="E17" s="386">
        <v>0.84109589041095889</v>
      </c>
      <c r="F17" s="923">
        <v>0</v>
      </c>
      <c r="G17" s="923">
        <v>-209279.97265445758</v>
      </c>
      <c r="H17" s="923">
        <v>-209279.97265445758</v>
      </c>
      <c r="I17" s="923">
        <v>0</v>
      </c>
      <c r="J17" s="923">
        <v>0</v>
      </c>
      <c r="K17" s="923">
        <v>-77939.382499999992</v>
      </c>
      <c r="L17" s="923">
        <v>-7364.5589578590007</v>
      </c>
      <c r="M17" s="924">
        <v>-182218.82521912653</v>
      </c>
      <c r="N17" s="389"/>
      <c r="O17" s="391"/>
      <c r="P17" s="392"/>
      <c r="Q17" s="393"/>
      <c r="R17" s="393"/>
      <c r="S17" s="393"/>
    </row>
    <row r="18" spans="1:19" ht="15.75">
      <c r="A18" s="369">
        <f t="shared" ref="A18:A30" si="0">+A17+1</f>
        <v>4</v>
      </c>
      <c r="B18" s="370" t="s">
        <v>478</v>
      </c>
      <c r="C18" s="373" t="s">
        <v>82</v>
      </c>
      <c r="D18" s="918">
        <v>2020</v>
      </c>
      <c r="E18" s="386">
        <v>0.75616438356164384</v>
      </c>
      <c r="F18" s="923">
        <v>0</v>
      </c>
      <c r="G18" s="923">
        <v>-209279.97265445758</v>
      </c>
      <c r="H18" s="923">
        <v>-209279.97265445758</v>
      </c>
      <c r="I18" s="923">
        <v>0</v>
      </c>
      <c r="J18" s="923">
        <v>0</v>
      </c>
      <c r="K18" s="923">
        <v>-77939.382499999992</v>
      </c>
      <c r="L18" s="923">
        <v>-7364.5589578590007</v>
      </c>
      <c r="M18" s="924">
        <v>-163818.87869862842</v>
      </c>
      <c r="N18" s="389"/>
      <c r="O18" s="392"/>
      <c r="P18" s="394"/>
      <c r="Q18" s="393"/>
      <c r="R18" s="393"/>
      <c r="S18" s="395"/>
    </row>
    <row r="19" spans="1:19" ht="15.75">
      <c r="A19" s="369">
        <f t="shared" si="0"/>
        <v>5</v>
      </c>
      <c r="B19" s="370" t="s">
        <v>478</v>
      </c>
      <c r="C19" s="373" t="s">
        <v>74</v>
      </c>
      <c r="D19" s="918">
        <v>2020</v>
      </c>
      <c r="E19" s="386">
        <v>0.67397260273972603</v>
      </c>
      <c r="F19" s="923">
        <v>0</v>
      </c>
      <c r="G19" s="923">
        <v>-209279.97265445758</v>
      </c>
      <c r="H19" s="923">
        <v>-209279.97265445758</v>
      </c>
      <c r="I19" s="923">
        <v>0</v>
      </c>
      <c r="J19" s="923">
        <v>0</v>
      </c>
      <c r="K19" s="923">
        <v>-77939.382499999992</v>
      </c>
      <c r="L19" s="923">
        <v>-7364.5589578590007</v>
      </c>
      <c r="M19" s="924">
        <v>-146012.47884008187</v>
      </c>
      <c r="N19" s="389"/>
      <c r="O19" s="392"/>
      <c r="P19" s="394"/>
      <c r="Q19" s="393"/>
      <c r="R19" s="393"/>
      <c r="S19" s="395"/>
    </row>
    <row r="20" spans="1:19" ht="15.75">
      <c r="A20" s="369">
        <f t="shared" si="0"/>
        <v>6</v>
      </c>
      <c r="B20" s="370" t="s">
        <v>478</v>
      </c>
      <c r="C20" s="373" t="s">
        <v>73</v>
      </c>
      <c r="D20" s="918">
        <v>2020</v>
      </c>
      <c r="E20" s="386">
        <v>0.58904109589041098</v>
      </c>
      <c r="F20" s="923">
        <v>0</v>
      </c>
      <c r="G20" s="923">
        <v>-209279.97265445758</v>
      </c>
      <c r="H20" s="923">
        <v>-209279.97265445758</v>
      </c>
      <c r="I20" s="923">
        <v>0</v>
      </c>
      <c r="J20" s="923">
        <v>0</v>
      </c>
      <c r="K20" s="923">
        <v>-77939.382499999992</v>
      </c>
      <c r="L20" s="923">
        <v>-7364.5589578590007</v>
      </c>
      <c r="M20" s="924">
        <v>-127612.53231958374</v>
      </c>
      <c r="N20" s="389"/>
      <c r="O20" s="392"/>
      <c r="P20" s="394"/>
      <c r="Q20" s="393"/>
      <c r="R20" s="393"/>
      <c r="S20" s="395"/>
    </row>
    <row r="21" spans="1:19" ht="15.75">
      <c r="A21" s="369">
        <f t="shared" si="0"/>
        <v>7</v>
      </c>
      <c r="B21" s="370" t="s">
        <v>478</v>
      </c>
      <c r="C21" s="373" t="s">
        <v>93</v>
      </c>
      <c r="D21" s="918">
        <v>2020</v>
      </c>
      <c r="E21" s="386">
        <v>0.50684931506849318</v>
      </c>
      <c r="F21" s="923">
        <v>0</v>
      </c>
      <c r="G21" s="923">
        <v>-209279.97265445758</v>
      </c>
      <c r="H21" s="923">
        <v>-209279.97265445758</v>
      </c>
      <c r="I21" s="923">
        <v>0</v>
      </c>
      <c r="J21" s="923">
        <v>0</v>
      </c>
      <c r="K21" s="923">
        <v>-77939.382499999992</v>
      </c>
      <c r="L21" s="923">
        <v>-7364.5589578590007</v>
      </c>
      <c r="M21" s="924">
        <v>-109806.13246103718</v>
      </c>
      <c r="N21" s="389"/>
      <c r="O21" s="392"/>
      <c r="P21" s="394"/>
      <c r="Q21" s="393"/>
      <c r="R21" s="393"/>
      <c r="S21" s="395"/>
    </row>
    <row r="22" spans="1:19" ht="15.75">
      <c r="A22" s="369">
        <f t="shared" si="0"/>
        <v>8</v>
      </c>
      <c r="B22" s="370" t="s">
        <v>478</v>
      </c>
      <c r="C22" s="373" t="s">
        <v>81</v>
      </c>
      <c r="D22" s="918">
        <v>2020</v>
      </c>
      <c r="E22" s="386">
        <v>0.42191780821917807</v>
      </c>
      <c r="F22" s="923">
        <v>0</v>
      </c>
      <c r="G22" s="923">
        <v>-209279.97265445758</v>
      </c>
      <c r="H22" s="923">
        <v>-209279.97265445758</v>
      </c>
      <c r="I22" s="923">
        <v>0</v>
      </c>
      <c r="J22" s="923">
        <v>0</v>
      </c>
      <c r="K22" s="923">
        <v>-77939.382499999992</v>
      </c>
      <c r="L22" s="923">
        <v>-7364.5589578590007</v>
      </c>
      <c r="M22" s="924">
        <v>-91406.185940539042</v>
      </c>
      <c r="N22" s="389"/>
      <c r="O22" s="392"/>
      <c r="P22" s="394"/>
      <c r="Q22" s="393"/>
      <c r="R22" s="393"/>
      <c r="S22" s="395"/>
    </row>
    <row r="23" spans="1:19" ht="15.75">
      <c r="A23" s="369">
        <f t="shared" si="0"/>
        <v>9</v>
      </c>
      <c r="B23" s="370" t="s">
        <v>478</v>
      </c>
      <c r="C23" s="373" t="s">
        <v>80</v>
      </c>
      <c r="D23" s="918">
        <v>2020</v>
      </c>
      <c r="E23" s="386">
        <v>0.33698630136986302</v>
      </c>
      <c r="F23" s="923">
        <v>0</v>
      </c>
      <c r="G23" s="923">
        <v>-209279.97265445758</v>
      </c>
      <c r="H23" s="923">
        <v>-209279.97265445758</v>
      </c>
      <c r="I23" s="923">
        <v>0</v>
      </c>
      <c r="J23" s="923">
        <v>0</v>
      </c>
      <c r="K23" s="923">
        <v>-77939.382499999992</v>
      </c>
      <c r="L23" s="923">
        <v>-7364.5589578590007</v>
      </c>
      <c r="M23" s="924">
        <v>-73006.239420040933</v>
      </c>
      <c r="N23" s="389"/>
      <c r="O23" s="392"/>
      <c r="P23" s="394"/>
      <c r="Q23" s="393"/>
      <c r="R23" s="393"/>
      <c r="S23" s="395"/>
    </row>
    <row r="24" spans="1:19" ht="15.75">
      <c r="A24" s="369">
        <f t="shared" si="0"/>
        <v>10</v>
      </c>
      <c r="B24" s="370" t="s">
        <v>478</v>
      </c>
      <c r="C24" s="373" t="s">
        <v>79</v>
      </c>
      <c r="D24" s="918">
        <v>2020</v>
      </c>
      <c r="E24" s="386">
        <v>0.25479452054794521</v>
      </c>
      <c r="F24" s="923">
        <v>0</v>
      </c>
      <c r="G24" s="923">
        <v>-209279.97265445758</v>
      </c>
      <c r="H24" s="923">
        <v>-209279.97265445758</v>
      </c>
      <c r="I24" s="923">
        <v>0</v>
      </c>
      <c r="J24" s="923">
        <v>0</v>
      </c>
      <c r="K24" s="923">
        <v>-77939.382499999992</v>
      </c>
      <c r="L24" s="923">
        <v>-7364.5589578590007</v>
      </c>
      <c r="M24" s="924">
        <v>-55199.839561494366</v>
      </c>
      <c r="N24" s="389"/>
      <c r="O24" s="392"/>
      <c r="P24" s="394"/>
      <c r="Q24" s="393"/>
      <c r="R24" s="393"/>
      <c r="S24" s="395"/>
    </row>
    <row r="25" spans="1:19" ht="15.75">
      <c r="A25" s="369">
        <f t="shared" si="0"/>
        <v>11</v>
      </c>
      <c r="B25" s="370" t="s">
        <v>478</v>
      </c>
      <c r="C25" s="373" t="s">
        <v>85</v>
      </c>
      <c r="D25" s="918">
        <v>2020</v>
      </c>
      <c r="E25" s="386">
        <v>0.16986301369863013</v>
      </c>
      <c r="F25" s="923">
        <v>0</v>
      </c>
      <c r="G25" s="923">
        <v>-209279.97265445758</v>
      </c>
      <c r="H25" s="923">
        <v>-209279.97265445758</v>
      </c>
      <c r="I25" s="923">
        <v>0</v>
      </c>
      <c r="J25" s="923">
        <v>0</v>
      </c>
      <c r="K25" s="923">
        <v>-77939.382499999992</v>
      </c>
      <c r="L25" s="923">
        <v>-7364.5589578590007</v>
      </c>
      <c r="M25" s="924">
        <v>-36799.893040996241</v>
      </c>
      <c r="N25" s="389"/>
      <c r="O25" s="392"/>
      <c r="P25" s="394"/>
      <c r="Q25" s="393"/>
      <c r="R25" s="393"/>
      <c r="S25" s="395"/>
    </row>
    <row r="26" spans="1:19" ht="15.75">
      <c r="A26" s="369">
        <f t="shared" si="0"/>
        <v>12</v>
      </c>
      <c r="B26" s="370" t="s">
        <v>478</v>
      </c>
      <c r="C26" s="373" t="s">
        <v>78</v>
      </c>
      <c r="D26" s="918">
        <v>2020</v>
      </c>
      <c r="E26" s="386">
        <v>8.7671232876712329E-2</v>
      </c>
      <c r="F26" s="923">
        <v>0</v>
      </c>
      <c r="G26" s="923">
        <v>-209279.97265445758</v>
      </c>
      <c r="H26" s="923">
        <v>-209279.97265445758</v>
      </c>
      <c r="I26" s="923">
        <v>0</v>
      </c>
      <c r="J26" s="923">
        <v>0</v>
      </c>
      <c r="K26" s="923">
        <v>-77939.382499999992</v>
      </c>
      <c r="L26" s="923">
        <v>-7364.5589578590007</v>
      </c>
      <c r="M26" s="924">
        <v>-18993.493182449674</v>
      </c>
      <c r="N26" s="389"/>
      <c r="O26" s="392"/>
      <c r="P26" s="394"/>
      <c r="Q26" s="393"/>
      <c r="R26" s="393"/>
      <c r="S26" s="395"/>
    </row>
    <row r="27" spans="1:19" ht="15.75">
      <c r="A27" s="369">
        <f t="shared" si="0"/>
        <v>13</v>
      </c>
      <c r="B27" s="370" t="s">
        <v>478</v>
      </c>
      <c r="C27" s="370" t="str">
        <f>+C15</f>
        <v xml:space="preserve">December </v>
      </c>
      <c r="D27" s="918">
        <v>2020</v>
      </c>
      <c r="E27" s="386">
        <v>2.7397260273972603E-3</v>
      </c>
      <c r="F27" s="923">
        <v>0</v>
      </c>
      <c r="G27" s="923">
        <v>-209279.97265445758</v>
      </c>
      <c r="H27" s="923">
        <v>-209279.97265445758</v>
      </c>
      <c r="I27" s="923">
        <v>0</v>
      </c>
      <c r="J27" s="923">
        <v>0</v>
      </c>
      <c r="K27" s="923">
        <v>-77939.382499999992</v>
      </c>
      <c r="L27" s="923">
        <v>-7364.5589578590007</v>
      </c>
      <c r="M27" s="924">
        <v>-593.54666195155232</v>
      </c>
      <c r="N27" s="389"/>
      <c r="O27" s="392"/>
      <c r="P27" s="394"/>
      <c r="Q27" s="393"/>
      <c r="R27" s="393"/>
      <c r="S27" s="395"/>
    </row>
    <row r="28" spans="1:19" ht="15.75">
      <c r="A28" s="369">
        <f t="shared" si="0"/>
        <v>14</v>
      </c>
      <c r="B28" s="370" t="s">
        <v>479</v>
      </c>
      <c r="D28" s="918">
        <v>2020</v>
      </c>
      <c r="E28" s="396" t="s">
        <v>477</v>
      </c>
      <c r="F28" s="397">
        <f>SUM(F15:F27)</f>
        <v>0</v>
      </c>
      <c r="G28" s="397">
        <f>SUM(G15:G27)</f>
        <v>-202901502.55548266</v>
      </c>
      <c r="H28" s="397">
        <f>SUM(H15:H27)</f>
        <v>-202901502.55548266</v>
      </c>
      <c r="I28" s="397">
        <f>SUM(I15:I27)</f>
        <v>0</v>
      </c>
      <c r="J28" s="397">
        <f>+J12*I28</f>
        <v>0</v>
      </c>
      <c r="K28" s="397">
        <f>SUM(K15:K27)</f>
        <v>-32133768.413320541</v>
      </c>
      <c r="L28" s="397">
        <f>SUM(L15:L27)</f>
        <v>-3036347.2794782068</v>
      </c>
      <c r="M28" s="397">
        <f>SUM(M15:M27)</f>
        <v>-204542421.63271266</v>
      </c>
      <c r="O28" s="392"/>
      <c r="P28" s="394"/>
      <c r="Q28" s="393"/>
      <c r="R28" s="393"/>
      <c r="S28" s="395"/>
    </row>
    <row r="29" spans="1:19" ht="15.75">
      <c r="A29" s="369">
        <f t="shared" si="0"/>
        <v>15</v>
      </c>
      <c r="B29" s="370" t="s">
        <v>478</v>
      </c>
      <c r="C29" s="370" t="s">
        <v>967</v>
      </c>
      <c r="D29" s="918">
        <v>2020</v>
      </c>
      <c r="E29" s="396"/>
      <c r="F29" s="396"/>
      <c r="G29" s="922">
        <v>-7334376.7766212737</v>
      </c>
      <c r="H29" s="923">
        <v>-7334376.7766212737</v>
      </c>
      <c r="I29" s="924">
        <v>0</v>
      </c>
      <c r="J29" s="923">
        <v>0</v>
      </c>
      <c r="K29" s="922">
        <v>0</v>
      </c>
      <c r="L29" s="923">
        <v>0</v>
      </c>
      <c r="M29" s="924">
        <v>-7334376.7766212737</v>
      </c>
      <c r="O29" s="392"/>
      <c r="P29" s="394"/>
      <c r="Q29" s="393"/>
      <c r="R29" s="393"/>
      <c r="S29" s="395"/>
    </row>
    <row r="30" spans="1:19">
      <c r="A30" s="369">
        <f t="shared" si="0"/>
        <v>16</v>
      </c>
      <c r="B30" s="370" t="s">
        <v>13</v>
      </c>
      <c r="D30" s="398"/>
      <c r="G30" s="399">
        <f t="shared" ref="G30:L30" si="1">SUM(G28:G29)</f>
        <v>-210235879.33210394</v>
      </c>
      <c r="H30" s="399">
        <f t="shared" si="1"/>
        <v>-210235879.33210394</v>
      </c>
      <c r="I30" s="399">
        <f t="shared" si="1"/>
        <v>0</v>
      </c>
      <c r="J30" s="399">
        <f t="shared" si="1"/>
        <v>0</v>
      </c>
      <c r="K30" s="399">
        <f t="shared" si="1"/>
        <v>-32133768.413320541</v>
      </c>
      <c r="L30" s="399">
        <f t="shared" si="1"/>
        <v>-3036347.2794782068</v>
      </c>
      <c r="M30" s="399">
        <f>SUM(M28:M29)</f>
        <v>-211876798.40933394</v>
      </c>
    </row>
    <row r="31" spans="1:19">
      <c r="B31" s="373"/>
      <c r="C31" s="385" t="s">
        <v>480</v>
      </c>
      <c r="D31" s="398"/>
    </row>
    <row r="32" spans="1:19">
      <c r="A32" s="369">
        <f>A30+1</f>
        <v>17</v>
      </c>
      <c r="B32" s="373" t="s">
        <v>477</v>
      </c>
      <c r="C32" s="373" t="s">
        <v>196</v>
      </c>
      <c r="D32" s="918">
        <v>2019</v>
      </c>
      <c r="F32" s="919">
        <v>0</v>
      </c>
      <c r="G32" s="919">
        <v>0</v>
      </c>
      <c r="H32" s="919">
        <v>0</v>
      </c>
      <c r="I32" s="919">
        <v>-5165133.0714999996</v>
      </c>
      <c r="J32" s="919">
        <v>-956020.30628460762</v>
      </c>
      <c r="K32" s="919">
        <v>-104384870.66503523</v>
      </c>
      <c r="L32" s="919">
        <v>-9863415.7682881132</v>
      </c>
      <c r="M32" s="921">
        <v>-10819436.074572721</v>
      </c>
    </row>
    <row r="33" spans="1:19">
      <c r="A33" s="369">
        <f t="shared" ref="A33:A34" si="2">+A32+1</f>
        <v>18</v>
      </c>
      <c r="B33" s="373" t="s">
        <v>477</v>
      </c>
      <c r="C33" s="373" t="str">
        <f>+C32</f>
        <v xml:space="preserve">December </v>
      </c>
      <c r="D33" s="918">
        <v>2020</v>
      </c>
      <c r="F33" s="919">
        <v>0</v>
      </c>
      <c r="G33" s="919">
        <v>0</v>
      </c>
      <c r="H33" s="919">
        <v>0</v>
      </c>
      <c r="I33" s="919">
        <v>-4790922.7114999993</v>
      </c>
      <c r="J33" s="919">
        <v>-886757.28865664569</v>
      </c>
      <c r="K33" s="919">
        <v>-106347739.40844083</v>
      </c>
      <c r="L33" s="919">
        <v>-10048888.915799245</v>
      </c>
      <c r="M33" s="921">
        <v>-10935646.204455892</v>
      </c>
    </row>
    <row r="34" spans="1:19">
      <c r="A34" s="369">
        <f t="shared" si="2"/>
        <v>19</v>
      </c>
      <c r="B34" s="373"/>
      <c r="C34" s="373" t="s">
        <v>481</v>
      </c>
      <c r="D34" s="398"/>
      <c r="F34" s="397">
        <f t="shared" ref="F34:L34" si="3">+F32/2+F33/2</f>
        <v>0</v>
      </c>
      <c r="G34" s="397">
        <f t="shared" si="3"/>
        <v>0</v>
      </c>
      <c r="H34" s="397">
        <f t="shared" si="3"/>
        <v>0</v>
      </c>
      <c r="I34" s="397">
        <f t="shared" si="3"/>
        <v>-4978027.8914999999</v>
      </c>
      <c r="J34" s="397">
        <f t="shared" si="3"/>
        <v>-921388.79747062665</v>
      </c>
      <c r="K34" s="397">
        <f t="shared" si="3"/>
        <v>-105366305.03673804</v>
      </c>
      <c r="L34" s="397">
        <f t="shared" si="3"/>
        <v>-9956152.3420436792</v>
      </c>
      <c r="M34" s="400">
        <f>+L34+J34+H34</f>
        <v>-10877541.139514307</v>
      </c>
    </row>
    <row r="35" spans="1:19">
      <c r="B35" s="373"/>
      <c r="C35" s="373"/>
      <c r="D35" s="398"/>
      <c r="E35" s="397"/>
      <c r="G35" s="401"/>
      <c r="H35" s="397"/>
      <c r="I35" s="397"/>
      <c r="J35" s="397"/>
      <c r="K35" s="397"/>
    </row>
    <row r="36" spans="1:19">
      <c r="B36" s="373"/>
      <c r="C36" s="373"/>
      <c r="D36" s="398"/>
      <c r="E36" s="397"/>
      <c r="F36" s="397"/>
      <c r="G36" s="397"/>
      <c r="I36" s="401"/>
      <c r="J36" s="397"/>
      <c r="K36" s="397"/>
    </row>
    <row r="37" spans="1:19">
      <c r="B37" s="373"/>
      <c r="C37" s="385" t="s">
        <v>482</v>
      </c>
      <c r="D37" s="398"/>
    </row>
    <row r="38" spans="1:19">
      <c r="A38" s="369">
        <f>A34+1</f>
        <v>20</v>
      </c>
      <c r="B38" s="373" t="s">
        <v>477</v>
      </c>
      <c r="C38" s="373" t="s">
        <v>196</v>
      </c>
      <c r="D38" s="918">
        <v>2019</v>
      </c>
      <c r="F38" s="397" t="s">
        <v>703</v>
      </c>
      <c r="G38" s="397" t="s">
        <v>703</v>
      </c>
      <c r="H38" s="397" t="s">
        <v>703</v>
      </c>
      <c r="I38" s="397" t="s">
        <v>703</v>
      </c>
      <c r="J38" s="397" t="s">
        <v>703</v>
      </c>
      <c r="K38" s="397" t="s">
        <v>703</v>
      </c>
      <c r="L38" s="397" t="s">
        <v>703</v>
      </c>
      <c r="M38" s="397" t="s">
        <v>703</v>
      </c>
    </row>
    <row r="39" spans="1:19">
      <c r="A39" s="369">
        <f t="shared" ref="A39:A40" si="4">+A38+1</f>
        <v>21</v>
      </c>
      <c r="B39" s="373" t="s">
        <v>477</v>
      </c>
      <c r="C39" s="373" t="str">
        <f>+C38</f>
        <v xml:space="preserve">December </v>
      </c>
      <c r="D39" s="918">
        <v>2020</v>
      </c>
      <c r="F39" s="397" t="s">
        <v>703</v>
      </c>
      <c r="G39" s="397" t="s">
        <v>703</v>
      </c>
      <c r="H39" s="397" t="s">
        <v>703</v>
      </c>
      <c r="I39" s="397" t="s">
        <v>703</v>
      </c>
      <c r="J39" s="397" t="s">
        <v>703</v>
      </c>
      <c r="K39" s="397" t="s">
        <v>703</v>
      </c>
      <c r="L39" s="397" t="s">
        <v>703</v>
      </c>
      <c r="M39" s="397" t="s">
        <v>703</v>
      </c>
    </row>
    <row r="40" spans="1:19">
      <c r="A40" s="369">
        <f t="shared" si="4"/>
        <v>22</v>
      </c>
      <c r="B40" s="373"/>
      <c r="C40" s="373" t="s">
        <v>481</v>
      </c>
      <c r="D40" s="398"/>
      <c r="F40" s="397" t="s">
        <v>703</v>
      </c>
      <c r="G40" s="397" t="s">
        <v>703</v>
      </c>
      <c r="H40" s="397" t="s">
        <v>703</v>
      </c>
      <c r="I40" s="397" t="s">
        <v>703</v>
      </c>
      <c r="J40" s="397" t="s">
        <v>703</v>
      </c>
      <c r="K40" s="397" t="s">
        <v>703</v>
      </c>
      <c r="L40" s="397" t="s">
        <v>703</v>
      </c>
      <c r="M40" s="397" t="s">
        <v>703</v>
      </c>
    </row>
    <row r="41" spans="1:19">
      <c r="B41" s="373"/>
      <c r="C41" s="373"/>
      <c r="D41" s="398"/>
      <c r="E41" s="397"/>
      <c r="F41" s="397"/>
      <c r="G41" s="397"/>
      <c r="H41" s="397"/>
      <c r="I41" s="397"/>
      <c r="J41" s="397"/>
      <c r="K41" s="397"/>
      <c r="L41" s="400"/>
    </row>
    <row r="42" spans="1:19">
      <c r="B42" s="373"/>
      <c r="C42" s="373"/>
      <c r="D42" s="398"/>
      <c r="E42" s="402"/>
      <c r="F42" s="402"/>
      <c r="G42" s="402"/>
      <c r="H42" s="402"/>
      <c r="I42" s="402"/>
      <c r="J42" s="402"/>
      <c r="K42" s="402"/>
    </row>
    <row r="43" spans="1:19">
      <c r="B43" s="373"/>
      <c r="C43" s="385" t="s">
        <v>483</v>
      </c>
      <c r="D43" s="398"/>
      <c r="E43" s="402"/>
      <c r="F43" s="402"/>
      <c r="G43" s="402"/>
      <c r="H43" s="402"/>
      <c r="I43" s="402"/>
      <c r="J43" s="402"/>
      <c r="K43" s="402"/>
    </row>
    <row r="44" spans="1:19" ht="15.75">
      <c r="A44" s="369">
        <f>+A40+1</f>
        <v>23</v>
      </c>
      <c r="B44" s="370" t="s">
        <v>477</v>
      </c>
      <c r="C44" s="370" t="s">
        <v>196</v>
      </c>
      <c r="D44" s="918">
        <v>2019</v>
      </c>
      <c r="E44" s="386">
        <v>1</v>
      </c>
      <c r="F44" s="919">
        <v>0</v>
      </c>
      <c r="G44" s="919">
        <v>0</v>
      </c>
      <c r="H44" s="919">
        <v>0</v>
      </c>
      <c r="I44" s="919">
        <v>19259192.784540229</v>
      </c>
      <c r="J44" s="919">
        <v>3564705.716153678</v>
      </c>
      <c r="K44" s="919">
        <v>116408740.36</v>
      </c>
      <c r="L44" s="919">
        <v>10999561.506550565</v>
      </c>
      <c r="M44" s="920">
        <v>14564267.222704243</v>
      </c>
      <c r="N44" s="399"/>
      <c r="O44" s="403"/>
      <c r="P44" s="403"/>
      <c r="Q44" s="403"/>
      <c r="R44" s="403"/>
      <c r="S44" s="403"/>
    </row>
    <row r="45" spans="1:19" ht="15.75">
      <c r="A45" s="369">
        <f>+A44+1</f>
        <v>24</v>
      </c>
      <c r="B45" s="370" t="s">
        <v>478</v>
      </c>
      <c r="C45" s="370" t="s">
        <v>84</v>
      </c>
      <c r="D45" s="918">
        <v>2020</v>
      </c>
      <c r="E45" s="386">
        <v>0.9178082191780822</v>
      </c>
      <c r="F45" s="919">
        <v>0</v>
      </c>
      <c r="G45" s="919">
        <v>0</v>
      </c>
      <c r="H45" s="919">
        <v>0</v>
      </c>
      <c r="I45" s="919">
        <v>0</v>
      </c>
      <c r="J45" s="919">
        <v>0</v>
      </c>
      <c r="K45" s="919">
        <v>0</v>
      </c>
      <c r="L45" s="919">
        <v>0</v>
      </c>
      <c r="M45" s="920">
        <v>0</v>
      </c>
      <c r="N45" s="389"/>
      <c r="O45" s="404"/>
      <c r="P45" s="403"/>
      <c r="Q45" s="403"/>
      <c r="R45" s="403"/>
      <c r="S45" s="404"/>
    </row>
    <row r="46" spans="1:19" ht="15.75">
      <c r="A46" s="369">
        <f t="shared" ref="A46:A56" si="5">+A45+1</f>
        <v>25</v>
      </c>
      <c r="B46" s="370" t="s">
        <v>478</v>
      </c>
      <c r="C46" s="373" t="s">
        <v>83</v>
      </c>
      <c r="D46" s="918">
        <v>2020</v>
      </c>
      <c r="E46" s="386">
        <v>0.84109589041095889</v>
      </c>
      <c r="F46" s="919">
        <v>0</v>
      </c>
      <c r="G46" s="919">
        <v>0</v>
      </c>
      <c r="H46" s="919">
        <v>0</v>
      </c>
      <c r="I46" s="919">
        <v>0</v>
      </c>
      <c r="J46" s="919">
        <v>0</v>
      </c>
      <c r="K46" s="919">
        <v>0</v>
      </c>
      <c r="L46" s="919">
        <v>0</v>
      </c>
      <c r="M46" s="920">
        <v>0</v>
      </c>
      <c r="N46" s="389"/>
      <c r="O46" s="404"/>
      <c r="P46" s="403"/>
      <c r="Q46" s="403"/>
      <c r="R46" s="403"/>
      <c r="S46" s="404"/>
    </row>
    <row r="47" spans="1:19" ht="15.75">
      <c r="A47" s="369">
        <f t="shared" si="5"/>
        <v>26</v>
      </c>
      <c r="B47" s="370" t="s">
        <v>478</v>
      </c>
      <c r="C47" s="373" t="s">
        <v>82</v>
      </c>
      <c r="D47" s="918">
        <v>2020</v>
      </c>
      <c r="E47" s="386">
        <v>0.75616438356164384</v>
      </c>
      <c r="F47" s="919">
        <v>0</v>
      </c>
      <c r="G47" s="919">
        <v>0</v>
      </c>
      <c r="H47" s="919">
        <v>0</v>
      </c>
      <c r="I47" s="919">
        <v>0</v>
      </c>
      <c r="J47" s="919">
        <v>0</v>
      </c>
      <c r="K47" s="919">
        <v>0</v>
      </c>
      <c r="L47" s="919">
        <v>0</v>
      </c>
      <c r="M47" s="920">
        <v>0</v>
      </c>
      <c r="N47" s="389"/>
      <c r="O47" s="404"/>
      <c r="P47" s="403"/>
      <c r="Q47" s="403"/>
      <c r="R47" s="403"/>
      <c r="S47" s="404"/>
    </row>
    <row r="48" spans="1:19" ht="15.75">
      <c r="A48" s="369">
        <f t="shared" si="5"/>
        <v>27</v>
      </c>
      <c r="B48" s="370" t="s">
        <v>478</v>
      </c>
      <c r="C48" s="373" t="s">
        <v>74</v>
      </c>
      <c r="D48" s="918">
        <v>2020</v>
      </c>
      <c r="E48" s="386">
        <v>0.67397260273972603</v>
      </c>
      <c r="F48" s="919">
        <v>0</v>
      </c>
      <c r="G48" s="919">
        <v>0</v>
      </c>
      <c r="H48" s="919">
        <v>0</v>
      </c>
      <c r="I48" s="919">
        <v>0</v>
      </c>
      <c r="J48" s="919">
        <v>0</v>
      </c>
      <c r="K48" s="919">
        <v>0</v>
      </c>
      <c r="L48" s="919">
        <v>0</v>
      </c>
      <c r="M48" s="920">
        <v>0</v>
      </c>
      <c r="N48" s="389"/>
      <c r="O48" s="404"/>
      <c r="P48" s="403"/>
      <c r="Q48" s="403"/>
      <c r="R48" s="403"/>
      <c r="S48" s="404"/>
    </row>
    <row r="49" spans="1:19" ht="15.75">
      <c r="A49" s="369">
        <f t="shared" si="5"/>
        <v>28</v>
      </c>
      <c r="B49" s="370" t="s">
        <v>478</v>
      </c>
      <c r="C49" s="373" t="s">
        <v>73</v>
      </c>
      <c r="D49" s="918">
        <v>2020</v>
      </c>
      <c r="E49" s="386">
        <v>0.58904109589041098</v>
      </c>
      <c r="F49" s="919">
        <v>0</v>
      </c>
      <c r="G49" s="919">
        <v>0</v>
      </c>
      <c r="H49" s="919">
        <v>0</v>
      </c>
      <c r="I49" s="919">
        <v>0</v>
      </c>
      <c r="J49" s="919">
        <v>0</v>
      </c>
      <c r="K49" s="919">
        <v>0</v>
      </c>
      <c r="L49" s="919">
        <v>0</v>
      </c>
      <c r="M49" s="920">
        <v>0</v>
      </c>
      <c r="N49" s="389"/>
      <c r="O49" s="404"/>
      <c r="P49" s="403"/>
      <c r="Q49" s="403"/>
      <c r="R49" s="403"/>
      <c r="S49" s="404"/>
    </row>
    <row r="50" spans="1:19" ht="15.75">
      <c r="A50" s="369">
        <f t="shared" si="5"/>
        <v>29</v>
      </c>
      <c r="B50" s="370" t="s">
        <v>478</v>
      </c>
      <c r="C50" s="373" t="s">
        <v>93</v>
      </c>
      <c r="D50" s="918">
        <v>2020</v>
      </c>
      <c r="E50" s="386">
        <v>0.50684931506849318</v>
      </c>
      <c r="F50" s="919">
        <v>0</v>
      </c>
      <c r="G50" s="919">
        <v>0</v>
      </c>
      <c r="H50" s="919">
        <v>0</v>
      </c>
      <c r="I50" s="919">
        <v>0</v>
      </c>
      <c r="J50" s="919">
        <v>0</v>
      </c>
      <c r="K50" s="919">
        <v>0</v>
      </c>
      <c r="L50" s="919">
        <v>0</v>
      </c>
      <c r="M50" s="920">
        <v>0</v>
      </c>
      <c r="N50" s="389"/>
      <c r="O50" s="404"/>
      <c r="P50" s="403"/>
      <c r="Q50" s="403"/>
      <c r="R50" s="403"/>
      <c r="S50" s="404"/>
    </row>
    <row r="51" spans="1:19" ht="15.75">
      <c r="A51" s="369">
        <f t="shared" si="5"/>
        <v>30</v>
      </c>
      <c r="B51" s="370" t="s">
        <v>478</v>
      </c>
      <c r="C51" s="373" t="s">
        <v>81</v>
      </c>
      <c r="D51" s="918">
        <v>2020</v>
      </c>
      <c r="E51" s="386">
        <v>0.42191780821917807</v>
      </c>
      <c r="F51" s="919">
        <v>0</v>
      </c>
      <c r="G51" s="919">
        <v>0</v>
      </c>
      <c r="H51" s="919">
        <v>0</v>
      </c>
      <c r="I51" s="919">
        <v>0</v>
      </c>
      <c r="J51" s="919">
        <v>0</v>
      </c>
      <c r="K51" s="919">
        <v>0</v>
      </c>
      <c r="L51" s="919">
        <v>0</v>
      </c>
      <c r="M51" s="920">
        <v>0</v>
      </c>
      <c r="N51" s="389"/>
      <c r="O51" s="404"/>
      <c r="P51" s="403"/>
      <c r="Q51" s="403"/>
      <c r="R51" s="403"/>
      <c r="S51" s="404"/>
    </row>
    <row r="52" spans="1:19" ht="15.75">
      <c r="A52" s="369">
        <f t="shared" si="5"/>
        <v>31</v>
      </c>
      <c r="B52" s="370" t="s">
        <v>478</v>
      </c>
      <c r="C52" s="373" t="s">
        <v>80</v>
      </c>
      <c r="D52" s="918">
        <v>2020</v>
      </c>
      <c r="E52" s="386">
        <v>0.33698630136986302</v>
      </c>
      <c r="F52" s="919">
        <v>0</v>
      </c>
      <c r="G52" s="919">
        <v>0</v>
      </c>
      <c r="H52" s="919">
        <v>0</v>
      </c>
      <c r="I52" s="919">
        <v>0</v>
      </c>
      <c r="J52" s="919">
        <v>0</v>
      </c>
      <c r="K52" s="919">
        <v>0</v>
      </c>
      <c r="L52" s="919">
        <v>0</v>
      </c>
      <c r="M52" s="920">
        <v>0</v>
      </c>
      <c r="N52" s="389"/>
      <c r="O52" s="404"/>
      <c r="P52" s="403"/>
      <c r="Q52" s="403"/>
      <c r="R52" s="403"/>
      <c r="S52" s="404"/>
    </row>
    <row r="53" spans="1:19" ht="15.75">
      <c r="A53" s="369">
        <f t="shared" si="5"/>
        <v>32</v>
      </c>
      <c r="B53" s="370" t="s">
        <v>478</v>
      </c>
      <c r="C53" s="373" t="s">
        <v>79</v>
      </c>
      <c r="D53" s="918">
        <v>2020</v>
      </c>
      <c r="E53" s="386">
        <v>0.25479452054794521</v>
      </c>
      <c r="F53" s="919">
        <v>0</v>
      </c>
      <c r="G53" s="919">
        <v>0</v>
      </c>
      <c r="H53" s="919">
        <v>0</v>
      </c>
      <c r="I53" s="919">
        <v>0</v>
      </c>
      <c r="J53" s="919">
        <v>0</v>
      </c>
      <c r="K53" s="919">
        <v>0</v>
      </c>
      <c r="L53" s="919">
        <v>0</v>
      </c>
      <c r="M53" s="920">
        <v>0</v>
      </c>
      <c r="N53" s="389"/>
      <c r="O53" s="404"/>
      <c r="P53" s="403"/>
      <c r="Q53" s="403"/>
      <c r="R53" s="403"/>
      <c r="S53" s="404"/>
    </row>
    <row r="54" spans="1:19" ht="15.75">
      <c r="A54" s="369">
        <f t="shared" si="5"/>
        <v>33</v>
      </c>
      <c r="B54" s="370" t="s">
        <v>478</v>
      </c>
      <c r="C54" s="373" t="s">
        <v>85</v>
      </c>
      <c r="D54" s="918">
        <v>2020</v>
      </c>
      <c r="E54" s="386">
        <v>0.16986301369863013</v>
      </c>
      <c r="F54" s="919">
        <v>0</v>
      </c>
      <c r="G54" s="919">
        <v>0</v>
      </c>
      <c r="H54" s="919">
        <v>0</v>
      </c>
      <c r="I54" s="919">
        <v>0</v>
      </c>
      <c r="J54" s="919">
        <v>0</v>
      </c>
      <c r="K54" s="919">
        <v>0</v>
      </c>
      <c r="L54" s="919">
        <v>0</v>
      </c>
      <c r="M54" s="920">
        <v>0</v>
      </c>
      <c r="N54" s="389"/>
      <c r="O54" s="404"/>
      <c r="P54" s="403"/>
      <c r="Q54" s="403"/>
      <c r="R54" s="403"/>
      <c r="S54" s="404"/>
    </row>
    <row r="55" spans="1:19" ht="15.75">
      <c r="A55" s="369">
        <f t="shared" si="5"/>
        <v>34</v>
      </c>
      <c r="B55" s="370" t="s">
        <v>478</v>
      </c>
      <c r="C55" s="373" t="s">
        <v>78</v>
      </c>
      <c r="D55" s="918">
        <v>2020</v>
      </c>
      <c r="E55" s="386">
        <v>8.7671232876712329E-2</v>
      </c>
      <c r="F55" s="919">
        <v>0</v>
      </c>
      <c r="G55" s="919">
        <v>0</v>
      </c>
      <c r="H55" s="919">
        <v>0</v>
      </c>
      <c r="I55" s="919">
        <v>0</v>
      </c>
      <c r="J55" s="919">
        <v>0</v>
      </c>
      <c r="K55" s="919">
        <v>0</v>
      </c>
      <c r="L55" s="919">
        <v>0</v>
      </c>
      <c r="M55" s="920">
        <v>0</v>
      </c>
      <c r="N55" s="389"/>
      <c r="O55" s="404"/>
      <c r="P55" s="403"/>
      <c r="Q55" s="403"/>
      <c r="R55" s="403"/>
      <c r="S55" s="404"/>
    </row>
    <row r="56" spans="1:19" ht="15.75">
      <c r="A56" s="369">
        <f t="shared" si="5"/>
        <v>35</v>
      </c>
      <c r="B56" s="370" t="s">
        <v>478</v>
      </c>
      <c r="C56" s="370" t="str">
        <f>+C44</f>
        <v xml:space="preserve">December </v>
      </c>
      <c r="D56" s="918">
        <v>2020</v>
      </c>
      <c r="E56" s="386">
        <v>2.7397260273972603E-3</v>
      </c>
      <c r="F56" s="919">
        <v>0</v>
      </c>
      <c r="G56" s="919">
        <v>0</v>
      </c>
      <c r="H56" s="919">
        <v>0</v>
      </c>
      <c r="I56" s="919">
        <v>23998408.559177987</v>
      </c>
      <c r="J56" s="919">
        <v>4441892.5095429635</v>
      </c>
      <c r="K56" s="919">
        <v>107996504.838</v>
      </c>
      <c r="L56" s="919">
        <v>10204682.172355624</v>
      </c>
      <c r="M56" s="920">
        <v>14646574.681898586</v>
      </c>
      <c r="N56" s="399"/>
      <c r="O56" s="404"/>
      <c r="P56" s="403"/>
      <c r="Q56" s="403"/>
      <c r="R56" s="403"/>
      <c r="S56" s="404"/>
    </row>
    <row r="57" spans="1:19">
      <c r="A57" s="369">
        <f>+A56+1</f>
        <v>36</v>
      </c>
      <c r="B57" s="370" t="s">
        <v>479</v>
      </c>
      <c r="D57" s="918">
        <v>2020</v>
      </c>
      <c r="E57" s="396" t="s">
        <v>477</v>
      </c>
      <c r="F57" s="397">
        <f>SUM(F44:F56)</f>
        <v>0</v>
      </c>
      <c r="G57" s="396"/>
      <c r="H57" s="396"/>
      <c r="I57" s="396"/>
      <c r="J57" s="402"/>
      <c r="K57" s="402"/>
      <c r="M57" s="405">
        <f>+M44/2+M56/2</f>
        <v>14605420.952301415</v>
      </c>
    </row>
    <row r="58" spans="1:19">
      <c r="B58" s="373" t="s">
        <v>1151</v>
      </c>
      <c r="C58" s="373"/>
      <c r="D58" s="398"/>
      <c r="F58" s="397"/>
      <c r="G58" s="397"/>
      <c r="H58" s="397"/>
      <c r="I58" s="397"/>
      <c r="J58" s="397"/>
      <c r="K58" s="397"/>
      <c r="L58" s="397"/>
      <c r="M58" s="400"/>
    </row>
    <row r="59" spans="1:19">
      <c r="D59" s="406"/>
      <c r="E59" s="397"/>
      <c r="F59" s="401"/>
      <c r="G59" s="401"/>
      <c r="H59" s="397"/>
      <c r="I59" s="397"/>
      <c r="J59" s="397"/>
      <c r="K59" s="397"/>
    </row>
    <row r="60" spans="1:19">
      <c r="A60" s="369">
        <f>+A57+1</f>
        <v>37</v>
      </c>
      <c r="B60" s="370" t="s">
        <v>975</v>
      </c>
      <c r="D60" s="406"/>
      <c r="E60" s="397"/>
      <c r="F60" s="401"/>
      <c r="G60" s="401"/>
      <c r="H60" s="397"/>
      <c r="I60" s="397"/>
      <c r="J60" s="397"/>
      <c r="K60" s="397"/>
      <c r="M60" s="400">
        <f>+M30+M34+M57</f>
        <v>-208148918.59654683</v>
      </c>
    </row>
    <row r="63" spans="1:19" ht="15.75">
      <c r="M63" s="372" t="s">
        <v>484</v>
      </c>
    </row>
    <row r="64" spans="1:19" ht="15.75">
      <c r="M64" s="372" t="s">
        <v>154</v>
      </c>
    </row>
    <row r="65" spans="1:13" ht="15.75">
      <c r="A65" s="407"/>
      <c r="B65" s="408"/>
      <c r="C65" s="408"/>
      <c r="D65" s="408"/>
      <c r="E65" s="408"/>
      <c r="F65" s="408"/>
      <c r="G65" s="408" t="str">
        <f>$G$3</f>
        <v>PECO Energy Company</v>
      </c>
      <c r="H65" s="408"/>
      <c r="I65" s="408"/>
      <c r="J65" s="408"/>
      <c r="K65" s="408"/>
      <c r="L65" s="408"/>
      <c r="M65" s="408"/>
    </row>
    <row r="66" spans="1:13">
      <c r="A66" s="1054" t="s">
        <v>485</v>
      </c>
      <c r="B66" s="1054"/>
      <c r="C66" s="1054"/>
      <c r="D66" s="1054"/>
      <c r="E66" s="1054"/>
      <c r="F66" s="1054"/>
      <c r="G66" s="1054"/>
      <c r="H66" s="1054"/>
      <c r="I66" s="1054"/>
      <c r="J66" s="1054"/>
      <c r="K66" s="1054"/>
      <c r="L66" s="1054"/>
      <c r="M66" s="1054"/>
    </row>
    <row r="67" spans="1:13" ht="15.75">
      <c r="A67" s="378" t="s">
        <v>486</v>
      </c>
      <c r="K67" s="401"/>
      <c r="M67" s="372" t="s">
        <v>1618</v>
      </c>
    </row>
    <row r="68" spans="1:13">
      <c r="A68" s="377"/>
      <c r="K68" s="401"/>
    </row>
    <row r="69" spans="1:13">
      <c r="A69" s="377"/>
      <c r="K69" s="401"/>
    </row>
    <row r="70" spans="1:13">
      <c r="A70" s="377"/>
      <c r="B70" s="370" t="s">
        <v>198</v>
      </c>
      <c r="C70" s="370" t="s">
        <v>199</v>
      </c>
      <c r="D70" s="371" t="s">
        <v>200</v>
      </c>
      <c r="E70" s="369" t="s">
        <v>201</v>
      </c>
      <c r="F70" s="369" t="s">
        <v>203</v>
      </c>
      <c r="G70" s="369" t="s">
        <v>202</v>
      </c>
      <c r="H70" s="369" t="s">
        <v>204</v>
      </c>
      <c r="I70" s="369" t="s">
        <v>1152</v>
      </c>
      <c r="J70" s="369" t="s">
        <v>206</v>
      </c>
      <c r="K70" s="369" t="s">
        <v>244</v>
      </c>
      <c r="L70" s="369" t="s">
        <v>248</v>
      </c>
      <c r="M70" s="369" t="s">
        <v>453</v>
      </c>
    </row>
    <row r="71" spans="1:13">
      <c r="A71" s="377"/>
      <c r="B71" s="369" t="s">
        <v>477</v>
      </c>
      <c r="C71" s="370" t="s">
        <v>167</v>
      </c>
      <c r="D71" s="371" t="s">
        <v>75</v>
      </c>
      <c r="E71" s="369" t="s">
        <v>455</v>
      </c>
      <c r="F71" s="369" t="s">
        <v>477</v>
      </c>
      <c r="G71" s="379">
        <v>1</v>
      </c>
      <c r="H71" s="369" t="s">
        <v>457</v>
      </c>
      <c r="I71" s="369" t="s">
        <v>458</v>
      </c>
      <c r="J71" s="369" t="s">
        <v>1133</v>
      </c>
      <c r="K71" s="369" t="s">
        <v>459</v>
      </c>
      <c r="L71" s="369" t="s">
        <v>460</v>
      </c>
      <c r="M71" s="369" t="s">
        <v>227</v>
      </c>
    </row>
    <row r="72" spans="1:13">
      <c r="A72" s="377"/>
      <c r="B72" s="369"/>
      <c r="E72" s="369" t="s">
        <v>462</v>
      </c>
      <c r="F72" s="369" t="s">
        <v>487</v>
      </c>
      <c r="G72" s="369" t="s">
        <v>17</v>
      </c>
      <c r="H72" s="379" t="s">
        <v>464</v>
      </c>
      <c r="I72" s="369" t="s">
        <v>465</v>
      </c>
      <c r="J72" s="379" t="s">
        <v>466</v>
      </c>
      <c r="K72" s="369" t="s">
        <v>467</v>
      </c>
      <c r="L72" s="379" t="s">
        <v>468</v>
      </c>
      <c r="M72" s="369" t="s">
        <v>469</v>
      </c>
    </row>
    <row r="73" spans="1:13">
      <c r="A73" s="377"/>
      <c r="B73" s="369"/>
      <c r="E73" s="369"/>
      <c r="F73" s="369" t="s">
        <v>488</v>
      </c>
      <c r="G73" s="369"/>
      <c r="H73" s="380">
        <v>1</v>
      </c>
      <c r="I73" s="369"/>
      <c r="J73" s="381">
        <f>+J12</f>
        <v>0.18509112796332486</v>
      </c>
      <c r="K73" s="382"/>
      <c r="L73" s="381">
        <f>+L12</f>
        <v>9.4490855863003556E-2</v>
      </c>
      <c r="M73" s="369" t="s">
        <v>471</v>
      </c>
    </row>
    <row r="74" spans="1:13">
      <c r="A74" s="377"/>
      <c r="B74" s="369"/>
      <c r="E74" s="369"/>
      <c r="F74" s="369" t="s">
        <v>489</v>
      </c>
      <c r="G74" s="369"/>
      <c r="H74" s="383"/>
      <c r="I74" s="369"/>
      <c r="J74" s="369" t="s">
        <v>473</v>
      </c>
      <c r="K74" s="369"/>
      <c r="L74" s="369" t="s">
        <v>473</v>
      </c>
      <c r="M74" s="369"/>
    </row>
    <row r="75" spans="1:13">
      <c r="B75" s="373"/>
      <c r="C75" s="385" t="s">
        <v>474</v>
      </c>
      <c r="E75" s="369"/>
      <c r="F75" s="369"/>
      <c r="G75" s="369"/>
      <c r="H75" s="369"/>
      <c r="I75" s="369"/>
      <c r="J75" s="369" t="s">
        <v>475</v>
      </c>
      <c r="K75" s="369"/>
      <c r="L75" s="369" t="s">
        <v>476</v>
      </c>
      <c r="M75" s="369"/>
    </row>
    <row r="76" spans="1:13">
      <c r="A76" s="369">
        <f>+A60+1</f>
        <v>38</v>
      </c>
      <c r="B76" s="373" t="s">
        <v>477</v>
      </c>
      <c r="C76" s="373" t="s">
        <v>196</v>
      </c>
      <c r="D76" s="917">
        <v>2018</v>
      </c>
      <c r="F76" s="397">
        <f>'4B - ADIT BOY'!C116</f>
        <v>-1139022726.2137337</v>
      </c>
      <c r="G76" s="397">
        <f>'4B - ADIT BOY'!E116</f>
        <v>-189143728.71373379</v>
      </c>
      <c r="H76" s="397"/>
      <c r="I76" s="397">
        <f>'4B - ADIT BOY'!F116</f>
        <v>0</v>
      </c>
      <c r="J76" s="397">
        <f>+J73*I76</f>
        <v>0</v>
      </c>
      <c r="K76" s="397">
        <f>'4B - ADIT BOY'!G116</f>
        <v>-30828317.5</v>
      </c>
      <c r="L76" s="397"/>
      <c r="M76" s="397"/>
    </row>
    <row r="77" spans="1:13">
      <c r="A77" s="369">
        <f>+A76+1</f>
        <v>39</v>
      </c>
      <c r="B77" s="373" t="s">
        <v>477</v>
      </c>
      <c r="C77" s="373" t="str">
        <f>+C76</f>
        <v xml:space="preserve">December </v>
      </c>
      <c r="D77" s="917">
        <v>2019</v>
      </c>
      <c r="F77" s="397">
        <f>'4C - ADIT EOY'!C111</f>
        <v>-1261244191.7069497</v>
      </c>
      <c r="G77" s="397">
        <f>'4C - ADIT EOY'!E111</f>
        <v>-200390142.88362911</v>
      </c>
      <c r="H77" s="397"/>
      <c r="I77" s="397">
        <f>'4C - ADIT EOY'!F111</f>
        <v>0</v>
      </c>
      <c r="J77" s="397">
        <f>+I77*J73</f>
        <v>0</v>
      </c>
      <c r="K77" s="397">
        <f>'4C - ADIT EOY'!G111</f>
        <v>-31198495.823320538</v>
      </c>
      <c r="L77" s="397"/>
      <c r="M77" s="405"/>
    </row>
    <row r="78" spans="1:13">
      <c r="A78" s="369">
        <f>+A77+1</f>
        <v>40</v>
      </c>
      <c r="B78" s="373"/>
      <c r="C78" s="373" t="s">
        <v>481</v>
      </c>
      <c r="D78" s="398"/>
      <c r="F78" s="397">
        <f>+F76/2+F77/2</f>
        <v>-1200133458.9603417</v>
      </c>
      <c r="G78" s="397">
        <f>+G76/2+G77/2</f>
        <v>-194766935.79868144</v>
      </c>
      <c r="H78" s="397">
        <f>+H$12*G78</f>
        <v>-194766935.79868144</v>
      </c>
      <c r="I78" s="397">
        <f>+I76/2+I77/2</f>
        <v>0</v>
      </c>
      <c r="J78" s="397">
        <f>+I78*J$12</f>
        <v>0</v>
      </c>
      <c r="K78" s="397">
        <f>+K76/2+K77/2</f>
        <v>-31013406.661660269</v>
      </c>
      <c r="L78" s="397">
        <f>+L73*K78</f>
        <v>-2930483.3386876546</v>
      </c>
      <c r="M78" s="405">
        <f>+L78+J78+H78</f>
        <v>-197697419.1373691</v>
      </c>
    </row>
    <row r="79" spans="1:13">
      <c r="D79" s="398"/>
    </row>
    <row r="80" spans="1:13">
      <c r="D80" s="398"/>
    </row>
    <row r="81" spans="1:14">
      <c r="B81" s="373"/>
      <c r="C81" s="385" t="s">
        <v>480</v>
      </c>
      <c r="D81" s="398"/>
    </row>
    <row r="82" spans="1:14">
      <c r="A82" s="369">
        <f>+A78+1</f>
        <v>41</v>
      </c>
      <c r="B82" s="373" t="s">
        <v>477</v>
      </c>
      <c r="C82" s="373" t="s">
        <v>196</v>
      </c>
      <c r="D82" s="917">
        <v>2018</v>
      </c>
      <c r="F82" s="397">
        <f>'4B - ADIT BOY'!C177</f>
        <v>-139156935.68264332</v>
      </c>
      <c r="G82" s="397">
        <f>'4B - ADIT BOY'!E177</f>
        <v>0</v>
      </c>
      <c r="H82" s="397">
        <f>+G82*H73</f>
        <v>0</v>
      </c>
      <c r="I82" s="397">
        <f>'4B - ADIT BOY'!F177</f>
        <v>-5581934.0465911357</v>
      </c>
      <c r="J82" s="397">
        <f>+I82*J73</f>
        <v>-1033166.4689004397</v>
      </c>
      <c r="K82" s="397">
        <f>'4B - ADIT BOY'!G177</f>
        <v>-108797635.51156461</v>
      </c>
      <c r="L82" s="397">
        <f>+K82*L73</f>
        <v>-10280381.695358848</v>
      </c>
      <c r="M82" s="400"/>
    </row>
    <row r="83" spans="1:14">
      <c r="A83" s="369">
        <f>+A82+1</f>
        <v>42</v>
      </c>
      <c r="B83" s="373" t="s">
        <v>477</v>
      </c>
      <c r="C83" s="373" t="str">
        <f>+C82</f>
        <v xml:space="preserve">December </v>
      </c>
      <c r="D83" s="917">
        <v>2019</v>
      </c>
      <c r="F83" s="397">
        <f>'4C - ADIT EOY'!C171</f>
        <v>-129949789.65678923</v>
      </c>
      <c r="G83" s="397">
        <f>'4C - ADIT EOY'!E171</f>
        <v>0</v>
      </c>
      <c r="H83" s="397">
        <f>+G83*H73</f>
        <v>0</v>
      </c>
      <c r="I83" s="397">
        <f>'4C - ADIT EOY'!F171</f>
        <v>-5165133.0714999996</v>
      </c>
      <c r="J83" s="397">
        <f>+I83*J73</f>
        <v>-956020.30628460762</v>
      </c>
      <c r="K83" s="397">
        <f>'4C - ADIT EOY'!G171</f>
        <v>-104384870.66503523</v>
      </c>
      <c r="L83" s="397">
        <f>+K83*L73</f>
        <v>-9863415.7682881132</v>
      </c>
      <c r="M83" s="400"/>
    </row>
    <row r="84" spans="1:14">
      <c r="A84" s="369">
        <f>+A83+1</f>
        <v>43</v>
      </c>
      <c r="B84" s="373"/>
      <c r="C84" s="373" t="s">
        <v>481</v>
      </c>
      <c r="D84" s="398"/>
      <c r="F84" s="397">
        <f t="shared" ref="F84:L84" si="6">+F82/2+F83/2</f>
        <v>-134553362.66971627</v>
      </c>
      <c r="G84" s="397">
        <f t="shared" si="6"/>
        <v>0</v>
      </c>
      <c r="H84" s="397">
        <f t="shared" si="6"/>
        <v>0</v>
      </c>
      <c r="I84" s="397">
        <f t="shared" si="6"/>
        <v>-5373533.5590455681</v>
      </c>
      <c r="J84" s="397">
        <f t="shared" si="6"/>
        <v>-994593.38759252359</v>
      </c>
      <c r="K84" s="397">
        <f t="shared" si="6"/>
        <v>-106591253.08829993</v>
      </c>
      <c r="L84" s="397">
        <f t="shared" si="6"/>
        <v>-10071898.731823482</v>
      </c>
      <c r="M84" s="400">
        <f>+L84+J84+H84</f>
        <v>-11066492.119416006</v>
      </c>
      <c r="N84" s="402"/>
    </row>
    <row r="85" spans="1:14">
      <c r="D85" s="398"/>
      <c r="N85" s="402"/>
    </row>
    <row r="86" spans="1:14">
      <c r="D86" s="398"/>
      <c r="N86" s="402"/>
    </row>
    <row r="87" spans="1:14">
      <c r="C87" s="409" t="s">
        <v>482</v>
      </c>
      <c r="D87" s="398"/>
    </row>
    <row r="88" spans="1:14">
      <c r="A88" s="369">
        <f>+A84+1</f>
        <v>44</v>
      </c>
      <c r="B88" s="370" t="s">
        <v>477</v>
      </c>
      <c r="C88" s="370" t="s">
        <v>196</v>
      </c>
      <c r="D88" s="917">
        <v>2018</v>
      </c>
      <c r="F88" s="397" t="s">
        <v>703</v>
      </c>
      <c r="G88" s="397" t="s">
        <v>703</v>
      </c>
      <c r="H88" s="397" t="s">
        <v>703</v>
      </c>
      <c r="I88" s="397" t="s">
        <v>703</v>
      </c>
      <c r="J88" s="397" t="s">
        <v>703</v>
      </c>
      <c r="K88" s="397" t="s">
        <v>703</v>
      </c>
      <c r="L88" s="397" t="s">
        <v>703</v>
      </c>
      <c r="M88" s="397" t="s">
        <v>703</v>
      </c>
    </row>
    <row r="89" spans="1:14">
      <c r="A89" s="369">
        <f>+A88+1</f>
        <v>45</v>
      </c>
      <c r="B89" s="370" t="s">
        <v>477</v>
      </c>
      <c r="C89" s="370" t="s">
        <v>196</v>
      </c>
      <c r="D89" s="917">
        <v>2019</v>
      </c>
      <c r="F89" s="397" t="s">
        <v>703</v>
      </c>
      <c r="G89" s="397" t="s">
        <v>703</v>
      </c>
      <c r="H89" s="397" t="s">
        <v>703</v>
      </c>
      <c r="I89" s="397" t="s">
        <v>703</v>
      </c>
      <c r="J89" s="397" t="s">
        <v>703</v>
      </c>
      <c r="K89" s="397" t="s">
        <v>703</v>
      </c>
      <c r="L89" s="397" t="s">
        <v>703</v>
      </c>
      <c r="M89" s="397" t="s">
        <v>703</v>
      </c>
    </row>
    <row r="90" spans="1:14">
      <c r="A90" s="369">
        <f>+A89+1</f>
        <v>46</v>
      </c>
      <c r="C90" s="370" t="s">
        <v>481</v>
      </c>
      <c r="D90" s="398"/>
      <c r="F90" s="397" t="s">
        <v>703</v>
      </c>
      <c r="G90" s="397" t="s">
        <v>703</v>
      </c>
      <c r="H90" s="397" t="s">
        <v>703</v>
      </c>
      <c r="I90" s="397" t="s">
        <v>703</v>
      </c>
      <c r="J90" s="397" t="s">
        <v>703</v>
      </c>
      <c r="K90" s="397" t="s">
        <v>703</v>
      </c>
      <c r="L90" s="397" t="s">
        <v>703</v>
      </c>
      <c r="M90" s="397" t="s">
        <v>703</v>
      </c>
    </row>
    <row r="91" spans="1:14">
      <c r="D91" s="398"/>
    </row>
    <row r="92" spans="1:14">
      <c r="D92" s="398"/>
    </row>
    <row r="93" spans="1:14">
      <c r="C93" s="409" t="s">
        <v>483</v>
      </c>
      <c r="D93" s="398"/>
    </row>
    <row r="94" spans="1:14">
      <c r="A94" s="369">
        <f>+A90+1</f>
        <v>47</v>
      </c>
      <c r="B94" s="370" t="s">
        <v>477</v>
      </c>
      <c r="C94" s="370" t="s">
        <v>196</v>
      </c>
      <c r="D94" s="917">
        <v>2018</v>
      </c>
      <c r="F94" s="397">
        <f>'4B - ADIT BOY'!C81</f>
        <v>178589499.75512001</v>
      </c>
      <c r="G94" s="397">
        <f>'4B - ADIT BOY'!E81</f>
        <v>0</v>
      </c>
      <c r="H94" s="397">
        <f>+G94</f>
        <v>0</v>
      </c>
      <c r="I94" s="397">
        <f>'4B - ADIT BOY'!F81</f>
        <v>13690675.525985844</v>
      </c>
      <c r="J94" s="397">
        <f>+I94*J73</f>
        <v>2534022.5756846056</v>
      </c>
      <c r="K94" s="397">
        <f>'4B - ADIT BOY'!G81</f>
        <v>131938477.59999999</v>
      </c>
      <c r="L94" s="397">
        <f>+K94*L73</f>
        <v>12466979.669685723</v>
      </c>
      <c r="M94" s="400">
        <f>+L94+J94+H94</f>
        <v>15001002.245370328</v>
      </c>
    </row>
    <row r="95" spans="1:14">
      <c r="A95" s="369">
        <f>+A94+1</f>
        <v>48</v>
      </c>
      <c r="B95" s="370" t="s">
        <v>477</v>
      </c>
      <c r="C95" s="370" t="s">
        <v>196</v>
      </c>
      <c r="D95" s="917">
        <v>2019</v>
      </c>
      <c r="F95" s="397">
        <f>'4C - ADIT EOY'!C76</f>
        <v>169734783.94518024</v>
      </c>
      <c r="G95" s="397">
        <f>'4C - ADIT EOY'!E76</f>
        <v>0</v>
      </c>
      <c r="H95" s="397">
        <f>+G95</f>
        <v>0</v>
      </c>
      <c r="I95" s="397">
        <f>'4C - ADIT EOY'!F76</f>
        <v>19259192.784540229</v>
      </c>
      <c r="J95" s="397">
        <f>+I95*J73</f>
        <v>3564705.716153678</v>
      </c>
      <c r="K95" s="397">
        <f>'4C - ADIT EOY'!G76</f>
        <v>116408740.36</v>
      </c>
      <c r="L95" s="397">
        <f>+K95*L73</f>
        <v>10999561.506550565</v>
      </c>
      <c r="M95" s="400">
        <f>+L95+J95+H95</f>
        <v>14564267.222704243</v>
      </c>
    </row>
    <row r="96" spans="1:14">
      <c r="A96" s="369">
        <f>+A95+1</f>
        <v>49</v>
      </c>
      <c r="C96" s="370" t="s">
        <v>481</v>
      </c>
      <c r="F96" s="397">
        <f t="shared" ref="F96:L96" si="7">+F94/2+F95/2</f>
        <v>174162141.85015011</v>
      </c>
      <c r="G96" s="397">
        <f t="shared" si="7"/>
        <v>0</v>
      </c>
      <c r="H96" s="397">
        <f t="shared" si="7"/>
        <v>0</v>
      </c>
      <c r="I96" s="397">
        <f t="shared" si="7"/>
        <v>16474934.155263036</v>
      </c>
      <c r="J96" s="397">
        <f t="shared" si="7"/>
        <v>3049364.1459191418</v>
      </c>
      <c r="K96" s="397">
        <f t="shared" si="7"/>
        <v>124173608.97999999</v>
      </c>
      <c r="L96" s="397">
        <f t="shared" si="7"/>
        <v>11733270.588118143</v>
      </c>
      <c r="M96" s="397">
        <f>+M94/2+M95/2</f>
        <v>14782634.734037286</v>
      </c>
    </row>
    <row r="97" spans="1:13">
      <c r="J97" s="397"/>
    </row>
    <row r="98" spans="1:13" ht="15.75" thickBot="1">
      <c r="A98" s="410" t="s">
        <v>324</v>
      </c>
      <c r="L98" s="405"/>
      <c r="M98" s="405"/>
    </row>
    <row r="99" spans="1:13">
      <c r="A99" s="369" t="s">
        <v>58</v>
      </c>
      <c r="B99" s="370" t="s">
        <v>1153</v>
      </c>
      <c r="L99" s="405"/>
      <c r="M99" s="405"/>
    </row>
    <row r="100" spans="1:13">
      <c r="L100" s="405"/>
    </row>
  </sheetData>
  <sheetProtection algorithmName="SHA-512" hashValue="Tg/1IVHO6eNyyMD99Bodoblh9qjP42UsbMYI9U7qC9z07ftlE91wwZ9J1UwPwc+OuHiMrRF0APe0leCf3Kg/Ng==" saltValue="vDfu4yVT/+axDGEkIKAFCQ==" spinCount="100000" sheet="1" objects="1" scenarios="1"/>
  <mergeCells count="1">
    <mergeCell ref="A66:M66"/>
  </mergeCells>
  <pageMargins left="0.7" right="0.7" top="0.75" bottom="0.75" header="0.3" footer="0.3"/>
  <pageSetup scale="50" fitToHeight="3" orientation="landscape" r:id="rId1"/>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8"/>
  <sheetViews>
    <sheetView view="pageBreakPreview" topLeftCell="A165" zoomScale="70" zoomScaleNormal="80" zoomScaleSheetLayoutView="70" workbookViewId="0">
      <selection activeCell="F182" sqref="F182"/>
    </sheetView>
  </sheetViews>
  <sheetFormatPr defaultColWidth="8.88671875" defaultRowHeight="15"/>
  <cols>
    <col min="1" max="1" width="5.44140625" style="411" customWidth="1"/>
    <col min="2" max="2" width="43.6640625" style="371" customWidth="1"/>
    <col min="3" max="3" width="17.77734375" style="371" customWidth="1"/>
    <col min="4" max="4" width="17" style="371" customWidth="1"/>
    <col min="5" max="5" width="19.77734375" style="371" customWidth="1"/>
    <col min="6" max="7" width="16.6640625" style="371" customWidth="1"/>
    <col min="8" max="8" width="89.77734375" style="371" customWidth="1"/>
    <col min="9" max="9" width="8.88671875" style="370"/>
    <col min="10" max="10" width="9.5546875" style="370" customWidth="1"/>
    <col min="11" max="16384" width="8.88671875" style="370"/>
  </cols>
  <sheetData>
    <row r="1" spans="1:9">
      <c r="B1" s="1055" t="s">
        <v>1061</v>
      </c>
      <c r="C1" s="1056"/>
      <c r="D1" s="1056"/>
      <c r="E1" s="1056"/>
      <c r="F1" s="1056"/>
      <c r="G1" s="1056"/>
      <c r="H1" s="1056"/>
      <c r="I1" s="373"/>
    </row>
    <row r="2" spans="1:9">
      <c r="B2" s="1057" t="str">
        <f>'4A - ADIT Summary'!$G$65</f>
        <v>PECO Energy Company</v>
      </c>
      <c r="C2" s="1058"/>
      <c r="D2" s="1058"/>
      <c r="E2" s="1058"/>
      <c r="F2" s="1058"/>
      <c r="G2" s="1058"/>
      <c r="H2" s="1058"/>
      <c r="I2" s="373"/>
    </row>
    <row r="3" spans="1:9">
      <c r="B3" s="412" t="s">
        <v>490</v>
      </c>
      <c r="C3" s="413"/>
      <c r="E3" s="370"/>
      <c r="F3" s="414"/>
      <c r="G3" s="415"/>
      <c r="H3" s="416"/>
      <c r="I3" s="373"/>
    </row>
    <row r="4" spans="1:9">
      <c r="B4" s="412"/>
      <c r="C4" s="413"/>
      <c r="E4" s="414"/>
      <c r="F4" s="414"/>
      <c r="G4" s="415"/>
      <c r="H4" s="417" t="s">
        <v>490</v>
      </c>
      <c r="I4" s="373"/>
    </row>
    <row r="5" spans="1:9">
      <c r="B5" s="418" t="s">
        <v>58</v>
      </c>
      <c r="C5" s="419" t="s">
        <v>59</v>
      </c>
      <c r="D5" s="419" t="s">
        <v>60</v>
      </c>
      <c r="E5" s="419" t="s">
        <v>61</v>
      </c>
      <c r="F5" s="419" t="s">
        <v>62</v>
      </c>
      <c r="G5" s="419" t="s">
        <v>63</v>
      </c>
      <c r="H5" s="417" t="s">
        <v>491</v>
      </c>
      <c r="I5" s="373"/>
    </row>
    <row r="6" spans="1:9">
      <c r="B6" s="413"/>
      <c r="C6" s="370"/>
      <c r="D6" s="420" t="s">
        <v>1400</v>
      </c>
      <c r="E6" s="414" t="s">
        <v>1399</v>
      </c>
      <c r="F6" s="414" t="s">
        <v>506</v>
      </c>
      <c r="G6" s="414" t="s">
        <v>459</v>
      </c>
      <c r="H6" s="370"/>
      <c r="I6" s="373"/>
    </row>
    <row r="7" spans="1:9">
      <c r="B7" s="413"/>
      <c r="C7" s="385" t="s">
        <v>13</v>
      </c>
      <c r="D7" s="420" t="s">
        <v>1401</v>
      </c>
      <c r="E7" s="414" t="s">
        <v>467</v>
      </c>
      <c r="F7" s="414" t="s">
        <v>467</v>
      </c>
      <c r="G7" s="414" t="s">
        <v>467</v>
      </c>
      <c r="H7" s="413"/>
      <c r="I7" s="373"/>
    </row>
    <row r="8" spans="1:9" ht="3.75" customHeight="1">
      <c r="B8" s="413"/>
      <c r="C8" s="413"/>
      <c r="E8" s="415"/>
      <c r="F8" s="415"/>
      <c r="G8" s="415"/>
      <c r="H8" s="417"/>
      <c r="I8" s="373"/>
    </row>
    <row r="9" spans="1:9">
      <c r="A9" s="411" t="s">
        <v>493</v>
      </c>
      <c r="B9" s="421" t="s">
        <v>474</v>
      </c>
      <c r="C9" s="415">
        <f>+C116</f>
        <v>-1139022726.2137337</v>
      </c>
      <c r="D9" s="420"/>
      <c r="E9" s="415">
        <f>E116</f>
        <v>-189143728.71373379</v>
      </c>
      <c r="F9" s="415">
        <f>F116</f>
        <v>0</v>
      </c>
      <c r="G9" s="415">
        <f>G116</f>
        <v>-30828317.5</v>
      </c>
      <c r="H9" s="415" t="s">
        <v>496</v>
      </c>
      <c r="I9" s="373"/>
    </row>
    <row r="10" spans="1:9">
      <c r="A10" s="411" t="s">
        <v>495</v>
      </c>
      <c r="B10" s="421" t="s">
        <v>480</v>
      </c>
      <c r="C10" s="415">
        <f>+C177</f>
        <v>-139156935.68264332</v>
      </c>
      <c r="D10" s="420"/>
      <c r="E10" s="415">
        <f>E177</f>
        <v>0</v>
      </c>
      <c r="F10" s="415">
        <f>F177</f>
        <v>-5581934.0465911357</v>
      </c>
      <c r="G10" s="415">
        <f>G177</f>
        <v>-108797635.51156461</v>
      </c>
      <c r="H10" s="415" t="s">
        <v>498</v>
      </c>
      <c r="I10" s="373"/>
    </row>
    <row r="11" spans="1:9">
      <c r="A11" s="411" t="s">
        <v>497</v>
      </c>
      <c r="B11" s="421" t="s">
        <v>483</v>
      </c>
      <c r="C11" s="415">
        <f>+C81</f>
        <v>178589499.75512001</v>
      </c>
      <c r="D11" s="420"/>
      <c r="E11" s="415">
        <f>E81</f>
        <v>0</v>
      </c>
      <c r="F11" s="415">
        <f>F81</f>
        <v>13690675.525985844</v>
      </c>
      <c r="G11" s="415">
        <f>G81</f>
        <v>131938477.59999999</v>
      </c>
      <c r="H11" s="415" t="s">
        <v>494</v>
      </c>
      <c r="I11" s="373"/>
    </row>
    <row r="12" spans="1:9">
      <c r="A12" s="411" t="s">
        <v>499</v>
      </c>
      <c r="B12" s="421" t="s">
        <v>500</v>
      </c>
      <c r="C12" s="415">
        <f>SUM(C9:C11)</f>
        <v>-1099590162.141257</v>
      </c>
      <c r="E12" s="415">
        <f>SUM(E9:E11)</f>
        <v>-189143728.71373379</v>
      </c>
      <c r="F12" s="415">
        <f>SUM(F9:F11)</f>
        <v>8108741.4793947088</v>
      </c>
      <c r="G12" s="415">
        <f>SUM(G9:G11)</f>
        <v>-7687475.4115646183</v>
      </c>
      <c r="H12" s="415" t="s">
        <v>501</v>
      </c>
      <c r="I12" s="373"/>
    </row>
    <row r="13" spans="1:9" ht="3.75" customHeight="1">
      <c r="B13" s="421"/>
      <c r="C13" s="413"/>
      <c r="D13" s="415"/>
      <c r="E13" s="415"/>
      <c r="F13" s="422"/>
      <c r="G13" s="415"/>
      <c r="H13" s="423"/>
      <c r="I13" s="373"/>
    </row>
    <row r="14" spans="1:9">
      <c r="B14" s="424" t="s">
        <v>502</v>
      </c>
      <c r="C14" s="425"/>
      <c r="D14" s="406"/>
      <c r="E14" s="406"/>
      <c r="F14" s="406"/>
      <c r="G14" s="406"/>
    </row>
    <row r="15" spans="1:9">
      <c r="B15" s="424" t="s">
        <v>503</v>
      </c>
      <c r="C15" s="425"/>
      <c r="D15" s="406"/>
      <c r="E15" s="406"/>
      <c r="F15" s="406"/>
      <c r="G15" s="406"/>
    </row>
    <row r="16" spans="1:9">
      <c r="B16" s="418" t="s">
        <v>58</v>
      </c>
      <c r="C16" s="419" t="s">
        <v>59</v>
      </c>
      <c r="D16" s="419" t="s">
        <v>60</v>
      </c>
      <c r="E16" s="419" t="s">
        <v>61</v>
      </c>
      <c r="F16" s="419" t="s">
        <v>62</v>
      </c>
      <c r="G16" s="419" t="s">
        <v>63</v>
      </c>
      <c r="H16" s="418" t="s">
        <v>64</v>
      </c>
    </row>
    <row r="17" spans="1:8">
      <c r="A17" s="411" t="s">
        <v>8</v>
      </c>
      <c r="B17" s="426" t="s">
        <v>1464</v>
      </c>
      <c r="C17" s="420" t="s">
        <v>13</v>
      </c>
      <c r="D17" s="420" t="s">
        <v>504</v>
      </c>
      <c r="E17" s="420" t="s">
        <v>492</v>
      </c>
      <c r="F17" s="420"/>
      <c r="G17" s="420"/>
    </row>
    <row r="18" spans="1:8">
      <c r="C18" s="420"/>
      <c r="D18" s="420" t="s">
        <v>505</v>
      </c>
      <c r="E18" s="420" t="s">
        <v>17</v>
      </c>
      <c r="F18" s="420" t="s">
        <v>506</v>
      </c>
      <c r="G18" s="420" t="s">
        <v>459</v>
      </c>
    </row>
    <row r="19" spans="1:8">
      <c r="C19" s="420"/>
      <c r="D19" s="420" t="s">
        <v>467</v>
      </c>
      <c r="E19" s="420" t="s">
        <v>467</v>
      </c>
      <c r="F19" s="420" t="s">
        <v>467</v>
      </c>
      <c r="G19" s="420" t="s">
        <v>467</v>
      </c>
      <c r="H19" s="427" t="s">
        <v>507</v>
      </c>
    </row>
    <row r="20" spans="1:8" ht="5.25" customHeight="1">
      <c r="B20" s="428"/>
      <c r="C20" s="429"/>
      <c r="D20" s="406"/>
      <c r="E20" s="406"/>
      <c r="F20" s="406"/>
      <c r="G20" s="406"/>
    </row>
    <row r="21" spans="1:8" ht="60">
      <c r="A21" s="411">
        <v>1</v>
      </c>
      <c r="B21" s="485" t="s">
        <v>877</v>
      </c>
      <c r="C21" s="485">
        <v>237053</v>
      </c>
      <c r="D21" s="485">
        <v>237053</v>
      </c>
      <c r="E21" s="485">
        <v>0</v>
      </c>
      <c r="F21" s="485">
        <v>0</v>
      </c>
      <c r="G21" s="485">
        <v>0</v>
      </c>
      <c r="H21" s="486" t="s">
        <v>925</v>
      </c>
    </row>
    <row r="22" spans="1:8">
      <c r="A22" s="411" t="s">
        <v>508</v>
      </c>
      <c r="B22" s="485" t="s">
        <v>879</v>
      </c>
      <c r="C22" s="485">
        <v>1773851</v>
      </c>
      <c r="D22" s="485">
        <v>0</v>
      </c>
      <c r="E22" s="485">
        <v>0</v>
      </c>
      <c r="F22" s="485">
        <v>0</v>
      </c>
      <c r="G22" s="485">
        <v>1773851</v>
      </c>
      <c r="H22" s="486" t="s">
        <v>926</v>
      </c>
    </row>
    <row r="23" spans="1:8">
      <c r="A23" s="411" t="s">
        <v>509</v>
      </c>
      <c r="B23" s="485" t="s">
        <v>880</v>
      </c>
      <c r="C23" s="485">
        <v>1863208</v>
      </c>
      <c r="D23" s="485">
        <v>0</v>
      </c>
      <c r="E23" s="485">
        <v>0</v>
      </c>
      <c r="F23" s="485">
        <v>0</v>
      </c>
      <c r="G23" s="485">
        <v>1863208</v>
      </c>
      <c r="H23" s="486" t="s">
        <v>927</v>
      </c>
    </row>
    <row r="24" spans="1:8">
      <c r="A24" s="411" t="s">
        <v>510</v>
      </c>
      <c r="B24" s="485" t="s">
        <v>881</v>
      </c>
      <c r="C24" s="485">
        <v>0</v>
      </c>
      <c r="D24" s="485">
        <v>0</v>
      </c>
      <c r="E24" s="485">
        <v>0</v>
      </c>
      <c r="F24" s="485">
        <v>0</v>
      </c>
      <c r="G24" s="485">
        <v>0</v>
      </c>
      <c r="H24" s="486" t="s">
        <v>878</v>
      </c>
    </row>
    <row r="25" spans="1:8" ht="30">
      <c r="A25" s="430" t="s">
        <v>511</v>
      </c>
      <c r="B25" s="485" t="s">
        <v>882</v>
      </c>
      <c r="C25" s="485">
        <v>15064698</v>
      </c>
      <c r="D25" s="485">
        <v>15064698</v>
      </c>
      <c r="E25" s="485">
        <v>0</v>
      </c>
      <c r="F25" s="485">
        <v>0</v>
      </c>
      <c r="G25" s="485">
        <v>0</v>
      </c>
      <c r="H25" s="486" t="s">
        <v>928</v>
      </c>
    </row>
    <row r="26" spans="1:8">
      <c r="A26" s="430" t="s">
        <v>512</v>
      </c>
      <c r="B26" s="485" t="s">
        <v>883</v>
      </c>
      <c r="C26" s="485">
        <v>1013502</v>
      </c>
      <c r="D26" s="485">
        <v>1013502</v>
      </c>
      <c r="E26" s="485">
        <v>0</v>
      </c>
      <c r="F26" s="485">
        <v>0</v>
      </c>
      <c r="G26" s="485">
        <v>0</v>
      </c>
      <c r="H26" s="486" t="s">
        <v>878</v>
      </c>
    </row>
    <row r="27" spans="1:8">
      <c r="A27" s="430" t="s">
        <v>513</v>
      </c>
      <c r="B27" s="485" t="s">
        <v>884</v>
      </c>
      <c r="C27" s="485">
        <v>335650</v>
      </c>
      <c r="D27" s="485">
        <v>335650</v>
      </c>
      <c r="E27" s="485">
        <v>0</v>
      </c>
      <c r="F27" s="485">
        <v>0</v>
      </c>
      <c r="G27" s="485">
        <v>0</v>
      </c>
      <c r="H27" s="486" t="s">
        <v>878</v>
      </c>
    </row>
    <row r="28" spans="1:8" ht="30">
      <c r="A28" s="430" t="s">
        <v>514</v>
      </c>
      <c r="B28" s="485" t="s">
        <v>885</v>
      </c>
      <c r="C28" s="485">
        <v>1698133</v>
      </c>
      <c r="D28" s="485">
        <v>1698133</v>
      </c>
      <c r="E28" s="485">
        <v>0</v>
      </c>
      <c r="F28" s="485">
        <v>0</v>
      </c>
      <c r="G28" s="485">
        <v>0</v>
      </c>
      <c r="H28" s="486" t="s">
        <v>929</v>
      </c>
    </row>
    <row r="29" spans="1:8">
      <c r="A29" s="430" t="s">
        <v>515</v>
      </c>
      <c r="B29" s="485" t="s">
        <v>1240</v>
      </c>
      <c r="C29" s="485">
        <v>225134</v>
      </c>
      <c r="D29" s="485">
        <v>225134</v>
      </c>
      <c r="E29" s="485">
        <v>0</v>
      </c>
      <c r="F29" s="485">
        <v>0</v>
      </c>
      <c r="G29" s="485">
        <v>0</v>
      </c>
      <c r="H29" s="486" t="s">
        <v>878</v>
      </c>
    </row>
    <row r="30" spans="1:8">
      <c r="A30" s="430" t="s">
        <v>516</v>
      </c>
      <c r="B30" s="485" t="s">
        <v>886</v>
      </c>
      <c r="C30" s="485">
        <v>18627</v>
      </c>
      <c r="D30" s="485">
        <v>0</v>
      </c>
      <c r="E30" s="485">
        <v>0</v>
      </c>
      <c r="F30" s="485">
        <v>0</v>
      </c>
      <c r="G30" s="485">
        <v>18627</v>
      </c>
      <c r="H30" s="926" t="s">
        <v>930</v>
      </c>
    </row>
    <row r="31" spans="1:8">
      <c r="A31" s="430" t="s">
        <v>517</v>
      </c>
      <c r="B31" s="485" t="s">
        <v>1241</v>
      </c>
      <c r="C31" s="485">
        <v>0</v>
      </c>
      <c r="D31" s="485">
        <v>0</v>
      </c>
      <c r="E31" s="485">
        <v>0</v>
      </c>
      <c r="F31" s="485">
        <v>0</v>
      </c>
      <c r="G31" s="485">
        <v>0</v>
      </c>
      <c r="H31" s="926" t="s">
        <v>1242</v>
      </c>
    </row>
    <row r="32" spans="1:8" ht="30">
      <c r="A32" s="430" t="s">
        <v>518</v>
      </c>
      <c r="B32" s="485" t="s">
        <v>909</v>
      </c>
      <c r="C32" s="485">
        <v>5371606</v>
      </c>
      <c r="D32" s="485">
        <v>5371606</v>
      </c>
      <c r="E32" s="485">
        <v>0</v>
      </c>
      <c r="F32" s="485">
        <v>0</v>
      </c>
      <c r="G32" s="485">
        <v>0</v>
      </c>
      <c r="H32" s="486" t="s">
        <v>1395</v>
      </c>
    </row>
    <row r="33" spans="1:8">
      <c r="A33" s="430" t="s">
        <v>519</v>
      </c>
      <c r="B33" s="485" t="s">
        <v>887</v>
      </c>
      <c r="C33" s="485">
        <v>0</v>
      </c>
      <c r="D33" s="485">
        <v>0</v>
      </c>
      <c r="E33" s="485">
        <v>0</v>
      </c>
      <c r="F33" s="485">
        <v>0</v>
      </c>
      <c r="G33" s="485">
        <v>0</v>
      </c>
      <c r="H33" s="486" t="s">
        <v>878</v>
      </c>
    </row>
    <row r="34" spans="1:8" ht="30">
      <c r="A34" s="430" t="s">
        <v>520</v>
      </c>
      <c r="B34" s="485" t="s">
        <v>910</v>
      </c>
      <c r="C34" s="485">
        <v>9990749</v>
      </c>
      <c r="D34" s="485">
        <v>0</v>
      </c>
      <c r="E34" s="485">
        <v>0</v>
      </c>
      <c r="F34" s="485">
        <v>0</v>
      </c>
      <c r="G34" s="485">
        <v>9990749</v>
      </c>
      <c r="H34" s="486" t="s">
        <v>931</v>
      </c>
    </row>
    <row r="35" spans="1:8" ht="30">
      <c r="A35" s="430" t="s">
        <v>521</v>
      </c>
      <c r="B35" s="485" t="s">
        <v>888</v>
      </c>
      <c r="C35" s="485">
        <v>0</v>
      </c>
      <c r="D35" s="485">
        <v>0</v>
      </c>
      <c r="E35" s="485">
        <v>0</v>
      </c>
      <c r="F35" s="485">
        <v>0</v>
      </c>
      <c r="G35" s="485">
        <v>0</v>
      </c>
      <c r="H35" s="486" t="s">
        <v>932</v>
      </c>
    </row>
    <row r="36" spans="1:8">
      <c r="A36" s="430" t="s">
        <v>522</v>
      </c>
      <c r="B36" s="485" t="s">
        <v>889</v>
      </c>
      <c r="C36" s="485">
        <v>0</v>
      </c>
      <c r="D36" s="485">
        <v>0</v>
      </c>
      <c r="E36" s="485">
        <v>0</v>
      </c>
      <c r="F36" s="485">
        <v>0</v>
      </c>
      <c r="G36" s="485">
        <v>0</v>
      </c>
      <c r="H36" s="486" t="s">
        <v>878</v>
      </c>
    </row>
    <row r="37" spans="1:8">
      <c r="A37" s="430" t="s">
        <v>523</v>
      </c>
      <c r="B37" s="485" t="s">
        <v>933</v>
      </c>
      <c r="C37" s="485">
        <v>67489</v>
      </c>
      <c r="D37" s="485">
        <v>67489</v>
      </c>
      <c r="E37" s="485">
        <v>0</v>
      </c>
      <c r="F37" s="485">
        <v>0</v>
      </c>
      <c r="G37" s="485">
        <v>0</v>
      </c>
      <c r="H37" s="486" t="s">
        <v>878</v>
      </c>
    </row>
    <row r="38" spans="1:8">
      <c r="A38" s="430" t="s">
        <v>524</v>
      </c>
      <c r="B38" s="485" t="s">
        <v>890</v>
      </c>
      <c r="C38" s="485">
        <v>428906</v>
      </c>
      <c r="D38" s="485">
        <v>428906</v>
      </c>
      <c r="E38" s="485">
        <v>0</v>
      </c>
      <c r="F38" s="485">
        <v>0</v>
      </c>
      <c r="G38" s="485">
        <v>0</v>
      </c>
      <c r="H38" s="926" t="s">
        <v>878</v>
      </c>
    </row>
    <row r="39" spans="1:8">
      <c r="A39" s="430" t="s">
        <v>525</v>
      </c>
      <c r="B39" s="485" t="s">
        <v>891</v>
      </c>
      <c r="C39" s="485">
        <v>-15327.705265844561</v>
      </c>
      <c r="D39" s="485">
        <v>-15327.705265844561</v>
      </c>
      <c r="E39" s="485">
        <v>0</v>
      </c>
      <c r="F39" s="485">
        <v>0</v>
      </c>
      <c r="G39" s="485">
        <v>0</v>
      </c>
      <c r="H39" s="926"/>
    </row>
    <row r="40" spans="1:8">
      <c r="A40" s="430" t="s">
        <v>526</v>
      </c>
      <c r="B40" s="485" t="s">
        <v>934</v>
      </c>
      <c r="C40" s="485">
        <v>10793.705265844565</v>
      </c>
      <c r="D40" s="485">
        <v>0</v>
      </c>
      <c r="E40" s="485">
        <v>0</v>
      </c>
      <c r="F40" s="485">
        <v>10793.705265844565</v>
      </c>
      <c r="G40" s="485">
        <v>0</v>
      </c>
      <c r="H40" s="926" t="s">
        <v>935</v>
      </c>
    </row>
    <row r="41" spans="1:8">
      <c r="A41" s="430" t="s">
        <v>527</v>
      </c>
      <c r="B41" s="485" t="s">
        <v>936</v>
      </c>
      <c r="C41" s="485">
        <v>192052</v>
      </c>
      <c r="D41" s="485">
        <v>192052</v>
      </c>
      <c r="E41" s="485">
        <v>0</v>
      </c>
      <c r="F41" s="485">
        <v>0</v>
      </c>
      <c r="G41" s="485">
        <v>0</v>
      </c>
      <c r="H41" s="926" t="s">
        <v>878</v>
      </c>
    </row>
    <row r="42" spans="1:8">
      <c r="A42" s="430" t="s">
        <v>528</v>
      </c>
      <c r="B42" s="485" t="s">
        <v>937</v>
      </c>
      <c r="C42" s="485">
        <v>83758</v>
      </c>
      <c r="D42" s="485">
        <v>0</v>
      </c>
      <c r="E42" s="485">
        <v>0</v>
      </c>
      <c r="F42" s="485">
        <v>83758</v>
      </c>
      <c r="G42" s="485">
        <v>0</v>
      </c>
      <c r="H42" s="926" t="s">
        <v>938</v>
      </c>
    </row>
    <row r="43" spans="1:8">
      <c r="A43" s="430" t="s">
        <v>529</v>
      </c>
      <c r="B43" s="485" t="s">
        <v>939</v>
      </c>
      <c r="C43" s="485">
        <v>262092</v>
      </c>
      <c r="D43" s="485">
        <v>0</v>
      </c>
      <c r="E43" s="485">
        <v>0</v>
      </c>
      <c r="F43" s="485">
        <v>262092</v>
      </c>
      <c r="G43" s="485">
        <v>0</v>
      </c>
      <c r="H43" s="926" t="s">
        <v>940</v>
      </c>
    </row>
    <row r="44" spans="1:8">
      <c r="A44" s="430" t="s">
        <v>530</v>
      </c>
      <c r="B44" s="485" t="s">
        <v>1243</v>
      </c>
      <c r="C44" s="485">
        <v>0</v>
      </c>
      <c r="D44" s="485">
        <v>0</v>
      </c>
      <c r="E44" s="485">
        <v>0</v>
      </c>
      <c r="F44" s="485">
        <v>0</v>
      </c>
      <c r="G44" s="485">
        <v>0</v>
      </c>
      <c r="H44" s="926" t="s">
        <v>1244</v>
      </c>
    </row>
    <row r="45" spans="1:8">
      <c r="A45" s="430" t="s">
        <v>531</v>
      </c>
      <c r="B45" s="485" t="s">
        <v>1245</v>
      </c>
      <c r="C45" s="485">
        <v>13825356</v>
      </c>
      <c r="D45" s="485">
        <v>0</v>
      </c>
      <c r="E45" s="485">
        <v>0</v>
      </c>
      <c r="F45" s="485">
        <v>13825356</v>
      </c>
      <c r="G45" s="485">
        <v>0</v>
      </c>
      <c r="H45" s="926" t="s">
        <v>1242</v>
      </c>
    </row>
    <row r="46" spans="1:8" ht="30">
      <c r="A46" s="430" t="s">
        <v>532</v>
      </c>
      <c r="B46" s="485" t="s">
        <v>911</v>
      </c>
      <c r="C46" s="485">
        <v>0</v>
      </c>
      <c r="D46" s="485">
        <v>0</v>
      </c>
      <c r="E46" s="485">
        <v>0</v>
      </c>
      <c r="F46" s="485">
        <v>0</v>
      </c>
      <c r="G46" s="485">
        <v>0</v>
      </c>
      <c r="H46" s="926" t="s">
        <v>941</v>
      </c>
    </row>
    <row r="47" spans="1:8">
      <c r="A47" s="430" t="s">
        <v>533</v>
      </c>
      <c r="B47" s="485" t="s">
        <v>893</v>
      </c>
      <c r="C47" s="485">
        <v>0</v>
      </c>
      <c r="D47" s="485">
        <v>0</v>
      </c>
      <c r="E47" s="485">
        <v>0</v>
      </c>
      <c r="F47" s="485">
        <v>0</v>
      </c>
      <c r="G47" s="485">
        <v>0</v>
      </c>
      <c r="H47" s="926" t="s">
        <v>878</v>
      </c>
    </row>
    <row r="48" spans="1:8" ht="30">
      <c r="A48" s="430" t="s">
        <v>534</v>
      </c>
      <c r="B48" s="485" t="s">
        <v>912</v>
      </c>
      <c r="C48" s="485">
        <v>71389972</v>
      </c>
      <c r="D48" s="485">
        <v>0</v>
      </c>
      <c r="E48" s="485">
        <v>0</v>
      </c>
      <c r="F48" s="485">
        <v>0</v>
      </c>
      <c r="G48" s="485">
        <v>71389972</v>
      </c>
      <c r="H48" s="926" t="s">
        <v>942</v>
      </c>
    </row>
    <row r="49" spans="1:8" ht="45">
      <c r="A49" s="430" t="s">
        <v>535</v>
      </c>
      <c r="B49" s="485" t="s">
        <v>894</v>
      </c>
      <c r="C49" s="485">
        <v>48886</v>
      </c>
      <c r="D49" s="485">
        <v>48886</v>
      </c>
      <c r="E49" s="485">
        <v>0</v>
      </c>
      <c r="F49" s="485">
        <v>0</v>
      </c>
      <c r="G49" s="485">
        <v>0</v>
      </c>
      <c r="H49" s="926" t="s">
        <v>943</v>
      </c>
    </row>
    <row r="50" spans="1:8">
      <c r="A50" s="430" t="s">
        <v>536</v>
      </c>
      <c r="B50" s="485" t="s">
        <v>895</v>
      </c>
      <c r="C50" s="485">
        <v>3158623</v>
      </c>
      <c r="D50" s="485">
        <v>3158623</v>
      </c>
      <c r="E50" s="485">
        <v>0</v>
      </c>
      <c r="F50" s="485">
        <v>0</v>
      </c>
      <c r="G50" s="485">
        <v>0</v>
      </c>
      <c r="H50" s="486" t="s">
        <v>944</v>
      </c>
    </row>
    <row r="51" spans="1:8">
      <c r="A51" s="430" t="s">
        <v>537</v>
      </c>
      <c r="B51" s="485" t="s">
        <v>896</v>
      </c>
      <c r="C51" s="485">
        <v>0</v>
      </c>
      <c r="D51" s="485">
        <v>0</v>
      </c>
      <c r="E51" s="485">
        <v>0</v>
      </c>
      <c r="F51" s="485">
        <v>0</v>
      </c>
      <c r="G51" s="485">
        <v>0</v>
      </c>
      <c r="H51" s="486" t="s">
        <v>944</v>
      </c>
    </row>
    <row r="52" spans="1:8">
      <c r="A52" s="430" t="s">
        <v>538</v>
      </c>
      <c r="B52" s="485" t="s">
        <v>897</v>
      </c>
      <c r="C52" s="485">
        <v>132515</v>
      </c>
      <c r="D52" s="485">
        <v>132515</v>
      </c>
      <c r="E52" s="485">
        <v>0</v>
      </c>
      <c r="F52" s="485">
        <v>0</v>
      </c>
      <c r="G52" s="485">
        <v>0</v>
      </c>
      <c r="H52" s="486" t="s">
        <v>945</v>
      </c>
    </row>
    <row r="53" spans="1:8">
      <c r="A53" s="430" t="s">
        <v>539</v>
      </c>
      <c r="B53" s="485" t="s">
        <v>898</v>
      </c>
      <c r="C53" s="485">
        <v>51322</v>
      </c>
      <c r="D53" s="485">
        <v>0</v>
      </c>
      <c r="E53" s="485">
        <v>0</v>
      </c>
      <c r="F53" s="485">
        <v>0</v>
      </c>
      <c r="G53" s="485">
        <v>51322</v>
      </c>
      <c r="H53" s="486" t="s">
        <v>946</v>
      </c>
    </row>
    <row r="54" spans="1:8">
      <c r="A54" s="430" t="s">
        <v>540</v>
      </c>
      <c r="B54" s="485" t="s">
        <v>913</v>
      </c>
      <c r="C54" s="485">
        <v>1145678</v>
      </c>
      <c r="D54" s="485">
        <v>1145678</v>
      </c>
      <c r="E54" s="485">
        <v>0</v>
      </c>
      <c r="F54" s="485">
        <v>0</v>
      </c>
      <c r="G54" s="485">
        <v>0</v>
      </c>
      <c r="H54" s="486" t="s">
        <v>947</v>
      </c>
    </row>
    <row r="55" spans="1:8">
      <c r="A55" s="430" t="s">
        <v>541</v>
      </c>
      <c r="B55" s="485" t="s">
        <v>899</v>
      </c>
      <c r="C55" s="485">
        <v>1701178</v>
      </c>
      <c r="D55" s="485">
        <v>1701178</v>
      </c>
      <c r="E55" s="485">
        <v>0</v>
      </c>
      <c r="F55" s="485">
        <v>0</v>
      </c>
      <c r="G55" s="485">
        <v>0</v>
      </c>
      <c r="H55" s="486" t="s">
        <v>878</v>
      </c>
    </row>
    <row r="56" spans="1:8" ht="30">
      <c r="A56" s="430" t="s">
        <v>542</v>
      </c>
      <c r="B56" s="485" t="s">
        <v>900</v>
      </c>
      <c r="C56" s="485">
        <v>9646333</v>
      </c>
      <c r="D56" s="485">
        <v>0</v>
      </c>
      <c r="E56" s="485">
        <v>0</v>
      </c>
      <c r="F56" s="485">
        <v>0</v>
      </c>
      <c r="G56" s="485">
        <v>9646333</v>
      </c>
      <c r="H56" s="486" t="s">
        <v>948</v>
      </c>
    </row>
    <row r="57" spans="1:8">
      <c r="A57" s="430" t="s">
        <v>543</v>
      </c>
      <c r="B57" s="927"/>
      <c r="C57" s="927"/>
      <c r="D57" s="927"/>
      <c r="E57" s="928"/>
      <c r="F57" s="928"/>
      <c r="G57" s="929"/>
      <c r="H57" s="930"/>
    </row>
    <row r="58" spans="1:8">
      <c r="A58" s="430" t="s">
        <v>544</v>
      </c>
      <c r="B58" s="927"/>
      <c r="C58" s="927"/>
      <c r="D58" s="927"/>
      <c r="E58" s="928"/>
      <c r="F58" s="928"/>
      <c r="G58" s="929"/>
      <c r="H58" s="930"/>
    </row>
    <row r="59" spans="1:8">
      <c r="A59" s="430" t="s">
        <v>545</v>
      </c>
      <c r="B59" s="927"/>
      <c r="C59" s="927"/>
      <c r="D59" s="927"/>
      <c r="E59" s="928"/>
      <c r="F59" s="928"/>
      <c r="G59" s="927"/>
      <c r="H59" s="930"/>
    </row>
    <row r="60" spans="1:8">
      <c r="A60" s="430" t="s">
        <v>546</v>
      </c>
      <c r="B60" s="927"/>
      <c r="C60" s="927"/>
      <c r="D60" s="927"/>
      <c r="E60" s="928"/>
      <c r="F60" s="927"/>
      <c r="G60" s="929"/>
      <c r="H60" s="930"/>
    </row>
    <row r="61" spans="1:8">
      <c r="A61" s="430" t="s">
        <v>547</v>
      </c>
      <c r="B61" s="927"/>
      <c r="C61" s="927"/>
      <c r="D61" s="927"/>
      <c r="E61" s="928"/>
      <c r="F61" s="927"/>
      <c r="G61" s="929"/>
      <c r="H61" s="930"/>
    </row>
    <row r="62" spans="1:8" hidden="1">
      <c r="A62" s="430" t="s">
        <v>548</v>
      </c>
      <c r="B62" s="1015"/>
      <c r="C62" s="927"/>
      <c r="D62" s="927"/>
      <c r="E62" s="928"/>
      <c r="F62" s="927"/>
      <c r="G62" s="929"/>
      <c r="H62" s="930"/>
    </row>
    <row r="63" spans="1:8" hidden="1">
      <c r="A63" s="430" t="s">
        <v>549</v>
      </c>
      <c r="B63" s="927"/>
      <c r="C63" s="927"/>
      <c r="D63" s="927"/>
      <c r="E63" s="927"/>
      <c r="F63" s="1016"/>
      <c r="G63" s="927"/>
      <c r="H63" s="1017"/>
    </row>
    <row r="64" spans="1:8" hidden="1">
      <c r="A64" s="430" t="s">
        <v>550</v>
      </c>
      <c r="B64" s="927"/>
      <c r="C64" s="927"/>
      <c r="D64" s="927"/>
      <c r="E64" s="928"/>
      <c r="F64" s="927"/>
      <c r="G64" s="929"/>
      <c r="H64" s="930"/>
    </row>
    <row r="65" spans="1:10" hidden="1">
      <c r="A65" s="430" t="s">
        <v>551</v>
      </c>
      <c r="B65" s="927"/>
      <c r="C65" s="927"/>
      <c r="D65" s="927"/>
      <c r="E65" s="928"/>
      <c r="F65" s="927"/>
      <c r="G65" s="929"/>
      <c r="H65" s="1018"/>
    </row>
    <row r="66" spans="1:10" hidden="1">
      <c r="A66" s="430" t="s">
        <v>552</v>
      </c>
      <c r="B66" s="927"/>
      <c r="C66" s="927"/>
      <c r="D66" s="927"/>
      <c r="E66" s="928"/>
      <c r="F66" s="927"/>
      <c r="G66" s="929"/>
      <c r="H66" s="1018"/>
    </row>
    <row r="67" spans="1:10" hidden="1">
      <c r="A67" s="430" t="s">
        <v>553</v>
      </c>
      <c r="B67" s="927"/>
      <c r="C67" s="927"/>
      <c r="D67" s="927"/>
      <c r="E67" s="927"/>
      <c r="F67" s="927"/>
      <c r="G67" s="927"/>
      <c r="H67" s="931"/>
    </row>
    <row r="68" spans="1:10" hidden="1">
      <c r="A68" s="430" t="s">
        <v>554</v>
      </c>
      <c r="B68" s="927"/>
      <c r="C68" s="927"/>
      <c r="D68" s="927"/>
      <c r="E68" s="927"/>
      <c r="F68" s="927"/>
      <c r="G68" s="927"/>
      <c r="H68" s="1018"/>
    </row>
    <row r="69" spans="1:10" hidden="1">
      <c r="A69" s="430" t="s">
        <v>555</v>
      </c>
      <c r="B69" s="927"/>
      <c r="C69" s="927"/>
      <c r="D69" s="927"/>
      <c r="E69" s="927"/>
      <c r="F69" s="927"/>
      <c r="G69" s="927"/>
      <c r="H69" s="931"/>
    </row>
    <row r="70" spans="1:10" hidden="1">
      <c r="A70" s="430" t="s">
        <v>556</v>
      </c>
      <c r="B70" s="927"/>
      <c r="C70" s="927"/>
      <c r="D70" s="927"/>
      <c r="E70" s="927"/>
      <c r="F70" s="928"/>
      <c r="G70" s="927"/>
      <c r="H70" s="931"/>
    </row>
    <row r="71" spans="1:10" hidden="1">
      <c r="A71" s="430" t="s">
        <v>557</v>
      </c>
      <c r="B71" s="927"/>
      <c r="C71" s="927"/>
      <c r="D71" s="927"/>
      <c r="E71" s="927"/>
      <c r="F71" s="927"/>
      <c r="G71" s="927"/>
      <c r="H71" s="930"/>
    </row>
    <row r="72" spans="1:10" hidden="1">
      <c r="A72" s="430" t="s">
        <v>558</v>
      </c>
      <c r="B72" s="927"/>
      <c r="C72" s="927"/>
      <c r="D72" s="927"/>
      <c r="E72" s="927"/>
      <c r="F72" s="927"/>
      <c r="G72" s="927"/>
      <c r="H72" s="931"/>
    </row>
    <row r="73" spans="1:10" hidden="1">
      <c r="A73" s="430" t="s">
        <v>559</v>
      </c>
      <c r="B73" s="927"/>
      <c r="C73" s="927"/>
      <c r="D73" s="927"/>
      <c r="E73" s="927"/>
      <c r="F73" s="927"/>
      <c r="G73" s="927"/>
      <c r="H73" s="939"/>
    </row>
    <row r="74" spans="1:10" hidden="1">
      <c r="A74" s="430" t="s">
        <v>560</v>
      </c>
      <c r="B74" s="927"/>
      <c r="C74" s="927"/>
      <c r="D74" s="927"/>
      <c r="E74" s="927"/>
      <c r="F74" s="927"/>
      <c r="G74" s="927"/>
      <c r="H74" s="939"/>
    </row>
    <row r="75" spans="1:10" hidden="1">
      <c r="A75" s="430" t="s">
        <v>561</v>
      </c>
      <c r="B75" s="939"/>
      <c r="C75" s="927"/>
      <c r="D75" s="927"/>
      <c r="E75" s="927"/>
      <c r="F75" s="927"/>
      <c r="G75" s="927"/>
      <c r="H75" s="931"/>
    </row>
    <row r="76" spans="1:10" hidden="1">
      <c r="A76" s="430" t="s">
        <v>562</v>
      </c>
      <c r="B76" s="1019"/>
      <c r="C76" s="927"/>
      <c r="D76" s="927"/>
      <c r="E76" s="927"/>
      <c r="F76" s="927"/>
      <c r="G76" s="927"/>
      <c r="H76" s="931"/>
    </row>
    <row r="77" spans="1:10">
      <c r="A77" s="430" t="s">
        <v>296</v>
      </c>
      <c r="B77" s="936"/>
      <c r="C77" s="927"/>
      <c r="D77" s="927"/>
      <c r="E77" s="927"/>
      <c r="F77" s="927"/>
      <c r="G77" s="927"/>
      <c r="H77" s="931"/>
    </row>
    <row r="78" spans="1:10">
      <c r="A78" s="430">
        <v>2</v>
      </c>
      <c r="B78" s="431" t="s">
        <v>1055</v>
      </c>
      <c r="C78" s="432">
        <f>SUM(C21:C77)</f>
        <v>139721837</v>
      </c>
      <c r="D78" s="432">
        <f>SUM(D21:D77)</f>
        <v>30805775.294734154</v>
      </c>
      <c r="E78" s="432">
        <f>SUM(E21:E77)</f>
        <v>0</v>
      </c>
      <c r="F78" s="432">
        <f>SUM(F21:F77)</f>
        <v>14181999.705265844</v>
      </c>
      <c r="G78" s="432">
        <f>SUM(G21:G77)</f>
        <v>94734062</v>
      </c>
      <c r="H78" s="433"/>
      <c r="J78" s="434"/>
    </row>
    <row r="79" spans="1:10">
      <c r="A79" s="430">
        <v>3</v>
      </c>
      <c r="B79" s="431" t="s">
        <v>563</v>
      </c>
      <c r="C79" s="485">
        <v>-38867662.755120002</v>
      </c>
      <c r="D79" s="485">
        <v>-2154571.3344000001</v>
      </c>
      <c r="E79" s="485">
        <v>0</v>
      </c>
      <c r="F79" s="485">
        <v>491324.17927999998</v>
      </c>
      <c r="G79" s="485">
        <v>-37204415.600000001</v>
      </c>
      <c r="H79" s="931"/>
    </row>
    <row r="80" spans="1:10">
      <c r="A80" s="430">
        <v>4</v>
      </c>
      <c r="B80" s="431" t="s">
        <v>564</v>
      </c>
      <c r="C80" s="927"/>
      <c r="D80" s="927"/>
      <c r="E80" s="927"/>
      <c r="F80" s="927"/>
      <c r="G80" s="927"/>
      <c r="H80" s="931"/>
    </row>
    <row r="81" spans="1:8">
      <c r="A81" s="411">
        <v>5</v>
      </c>
      <c r="B81" s="431" t="s">
        <v>13</v>
      </c>
      <c r="C81" s="432">
        <f>+C78-C79-C80</f>
        <v>178589499.75512001</v>
      </c>
      <c r="D81" s="432">
        <f>+D78-D79-D80</f>
        <v>32960346.629134156</v>
      </c>
      <c r="E81" s="432">
        <f>+E78-E79-E80</f>
        <v>0</v>
      </c>
      <c r="F81" s="432">
        <f>+F78-F79-F80</f>
        <v>13690675.525985844</v>
      </c>
      <c r="G81" s="432">
        <f>+G78-G79-G80</f>
        <v>131938477.59999999</v>
      </c>
      <c r="H81" s="433"/>
    </row>
    <row r="82" spans="1:8" ht="6" customHeight="1">
      <c r="B82" s="435"/>
      <c r="C82" s="436"/>
      <c r="D82" s="415"/>
      <c r="E82" s="415"/>
      <c r="F82" s="415"/>
      <c r="G82" s="437"/>
      <c r="H82" s="438"/>
    </row>
    <row r="83" spans="1:8">
      <c r="A83" s="430">
        <v>6</v>
      </c>
      <c r="B83" s="439" t="s">
        <v>565</v>
      </c>
      <c r="C83" s="440"/>
      <c r="D83" s="441"/>
      <c r="E83" s="441"/>
      <c r="F83" s="441"/>
      <c r="G83" s="442"/>
      <c r="H83" s="443"/>
    </row>
    <row r="84" spans="1:8">
      <c r="A84" s="430">
        <v>7</v>
      </c>
      <c r="B84" s="444" t="s">
        <v>566</v>
      </c>
      <c r="C84" s="415"/>
      <c r="D84" s="415"/>
      <c r="E84" s="415"/>
      <c r="F84" s="415"/>
      <c r="G84" s="415"/>
      <c r="H84" s="445"/>
    </row>
    <row r="85" spans="1:8">
      <c r="A85" s="430">
        <v>8</v>
      </c>
      <c r="B85" s="444" t="s">
        <v>567</v>
      </c>
      <c r="C85" s="446"/>
      <c r="D85" s="415"/>
      <c r="E85" s="415"/>
      <c r="F85" s="415"/>
      <c r="G85" s="437"/>
      <c r="H85" s="447"/>
    </row>
    <row r="86" spans="1:8">
      <c r="A86" s="430">
        <v>9</v>
      </c>
      <c r="B86" s="444" t="s">
        <v>568</v>
      </c>
      <c r="C86" s="446"/>
      <c r="D86" s="415"/>
      <c r="E86" s="415"/>
      <c r="F86" s="415"/>
      <c r="G86" s="437"/>
      <c r="H86" s="447"/>
    </row>
    <row r="87" spans="1:8">
      <c r="A87" s="430">
        <v>10</v>
      </c>
      <c r="B87" s="444" t="s">
        <v>569</v>
      </c>
      <c r="C87" s="446"/>
      <c r="D87" s="415"/>
      <c r="E87" s="415"/>
      <c r="F87" s="415"/>
      <c r="G87" s="437"/>
      <c r="H87" s="447"/>
    </row>
    <row r="88" spans="1:8">
      <c r="A88" s="430">
        <v>11</v>
      </c>
      <c r="B88" s="448" t="s">
        <v>570</v>
      </c>
      <c r="C88" s="415"/>
      <c r="D88" s="415"/>
      <c r="E88" s="415"/>
      <c r="F88" s="415"/>
      <c r="G88" s="415"/>
      <c r="H88" s="445"/>
    </row>
    <row r="89" spans="1:8">
      <c r="A89" s="430">
        <v>12</v>
      </c>
      <c r="B89" s="449" t="s">
        <v>571</v>
      </c>
      <c r="C89" s="415"/>
      <c r="D89" s="415"/>
      <c r="E89" s="415"/>
      <c r="F89" s="415"/>
      <c r="G89" s="415"/>
      <c r="H89" s="445"/>
    </row>
    <row r="90" spans="1:8" ht="3.75" customHeight="1">
      <c r="B90" s="450"/>
      <c r="C90" s="451"/>
      <c r="D90" s="452"/>
      <c r="E90" s="452"/>
      <c r="F90" s="452"/>
      <c r="G90" s="453"/>
      <c r="H90" s="454"/>
    </row>
    <row r="91" spans="1:8">
      <c r="B91" s="1057" t="str">
        <f>'4A - ADIT Summary'!$G$65</f>
        <v>PECO Energy Company</v>
      </c>
      <c r="C91" s="1058"/>
      <c r="D91" s="1058"/>
      <c r="E91" s="1058"/>
      <c r="F91" s="1058"/>
      <c r="G91" s="1058"/>
      <c r="H91" s="1058"/>
    </row>
    <row r="92" spans="1:8" ht="15.75">
      <c r="B92" s="413" t="s">
        <v>490</v>
      </c>
      <c r="C92" s="413"/>
      <c r="D92" s="413"/>
      <c r="E92" s="413"/>
      <c r="F92" s="413"/>
      <c r="G92" s="413"/>
      <c r="H92" s="372"/>
    </row>
    <row r="93" spans="1:8">
      <c r="B93" s="455"/>
      <c r="C93" s="456"/>
      <c r="D93" s="457"/>
      <c r="E93" s="457"/>
      <c r="F93" s="457"/>
      <c r="G93" s="457"/>
      <c r="H93" s="417"/>
    </row>
    <row r="94" spans="1:8">
      <c r="B94" s="458"/>
      <c r="C94" s="456"/>
      <c r="D94" s="457"/>
      <c r="E94" s="457"/>
      <c r="F94" s="457"/>
      <c r="G94" s="457"/>
      <c r="H94" s="417" t="s">
        <v>490</v>
      </c>
    </row>
    <row r="95" spans="1:8">
      <c r="B95" s="458"/>
      <c r="C95" s="456"/>
      <c r="D95" s="457"/>
      <c r="E95" s="457"/>
      <c r="F95" s="457"/>
      <c r="G95" s="457"/>
      <c r="H95" s="417" t="s">
        <v>572</v>
      </c>
    </row>
    <row r="96" spans="1:8">
      <c r="B96" s="458"/>
      <c r="C96" s="456"/>
      <c r="D96" s="457"/>
      <c r="E96" s="457"/>
      <c r="F96" s="457"/>
      <c r="G96" s="457"/>
      <c r="H96" s="459"/>
    </row>
    <row r="97" spans="1:8">
      <c r="B97" s="413"/>
      <c r="C97" s="415"/>
      <c r="D97" s="415"/>
      <c r="E97" s="415"/>
      <c r="F97" s="415"/>
      <c r="G97" s="415"/>
      <c r="H97" s="421"/>
    </row>
    <row r="98" spans="1:8">
      <c r="B98" s="413"/>
      <c r="C98" s="415"/>
      <c r="D98" s="415"/>
      <c r="E98" s="415"/>
      <c r="F98" s="415"/>
      <c r="G98" s="415"/>
      <c r="H98" s="421"/>
    </row>
    <row r="99" spans="1:8">
      <c r="B99" s="458" t="s">
        <v>58</v>
      </c>
      <c r="C99" s="419" t="s">
        <v>59</v>
      </c>
      <c r="D99" s="456" t="s">
        <v>60</v>
      </c>
      <c r="E99" s="456" t="s">
        <v>61</v>
      </c>
      <c r="F99" s="456" t="s">
        <v>62</v>
      </c>
      <c r="G99" s="456" t="s">
        <v>63</v>
      </c>
      <c r="H99" s="458" t="s">
        <v>64</v>
      </c>
    </row>
    <row r="100" spans="1:8">
      <c r="B100" s="421" t="s">
        <v>1465</v>
      </c>
      <c r="C100" s="420" t="s">
        <v>13</v>
      </c>
      <c r="D100" s="420" t="s">
        <v>504</v>
      </c>
      <c r="E100" s="414" t="s">
        <v>492</v>
      </c>
      <c r="F100" s="414"/>
      <c r="G100" s="414"/>
      <c r="H100" s="413"/>
    </row>
    <row r="101" spans="1:8">
      <c r="B101" s="435"/>
      <c r="C101" s="420"/>
      <c r="D101" s="420" t="s">
        <v>505</v>
      </c>
      <c r="E101" s="414" t="s">
        <v>17</v>
      </c>
      <c r="F101" s="414" t="s">
        <v>506</v>
      </c>
      <c r="G101" s="414" t="s">
        <v>459</v>
      </c>
      <c r="H101" s="413"/>
    </row>
    <row r="102" spans="1:8">
      <c r="B102" s="460"/>
      <c r="C102" s="461"/>
      <c r="D102" s="420" t="s">
        <v>467</v>
      </c>
      <c r="E102" s="414" t="s">
        <v>467</v>
      </c>
      <c r="F102" s="414" t="s">
        <v>467</v>
      </c>
      <c r="G102" s="414" t="s">
        <v>467</v>
      </c>
      <c r="H102" s="421" t="s">
        <v>507</v>
      </c>
    </row>
    <row r="103" spans="1:8">
      <c r="B103" s="413"/>
      <c r="C103" s="462"/>
      <c r="D103" s="415"/>
      <c r="E103" s="415"/>
      <c r="F103" s="415"/>
      <c r="G103" s="415"/>
      <c r="H103" s="413"/>
    </row>
    <row r="104" spans="1:8">
      <c r="A104" s="411" t="s">
        <v>573</v>
      </c>
      <c r="B104" s="932" t="s">
        <v>1111</v>
      </c>
      <c r="C104" s="933">
        <v>0</v>
      </c>
      <c r="D104" s="933">
        <v>0</v>
      </c>
      <c r="E104" s="933">
        <v>0</v>
      </c>
      <c r="F104" s="933">
        <v>0</v>
      </c>
      <c r="G104" s="933">
        <v>0</v>
      </c>
      <c r="H104" s="934"/>
    </row>
    <row r="105" spans="1:8">
      <c r="A105" s="411" t="s">
        <v>574</v>
      </c>
      <c r="B105" s="932" t="s">
        <v>702</v>
      </c>
      <c r="C105" s="933">
        <v>-29503593</v>
      </c>
      <c r="D105" s="933">
        <v>0</v>
      </c>
      <c r="E105" s="933">
        <v>0</v>
      </c>
      <c r="F105" s="933">
        <v>0</v>
      </c>
      <c r="G105" s="933">
        <v>-29503593</v>
      </c>
      <c r="H105" s="934" t="s">
        <v>949</v>
      </c>
    </row>
    <row r="106" spans="1:8">
      <c r="A106" s="411" t="s">
        <v>575</v>
      </c>
      <c r="B106" s="932" t="s">
        <v>778</v>
      </c>
      <c r="C106" s="933">
        <v>-1188168321</v>
      </c>
      <c r="D106" s="933">
        <v>-1188168321</v>
      </c>
      <c r="E106" s="933">
        <v>0</v>
      </c>
      <c r="F106" s="933">
        <v>0</v>
      </c>
      <c r="G106" s="933">
        <v>0</v>
      </c>
      <c r="H106" s="934" t="s">
        <v>950</v>
      </c>
    </row>
    <row r="107" spans="1:8">
      <c r="A107" s="430" t="s">
        <v>576</v>
      </c>
      <c r="B107" s="932" t="s">
        <v>902</v>
      </c>
      <c r="C107" s="933">
        <v>-3041661</v>
      </c>
      <c r="D107" s="933">
        <v>0</v>
      </c>
      <c r="E107" s="933">
        <v>0</v>
      </c>
      <c r="F107" s="933">
        <v>0</v>
      </c>
      <c r="G107" s="933">
        <v>-3041661</v>
      </c>
      <c r="H107" s="934" t="s">
        <v>949</v>
      </c>
    </row>
    <row r="108" spans="1:8">
      <c r="A108" s="430" t="s">
        <v>577</v>
      </c>
      <c r="B108" s="932" t="s">
        <v>17</v>
      </c>
      <c r="C108" s="933">
        <v>-226271862</v>
      </c>
      <c r="D108" s="933">
        <v>0</v>
      </c>
      <c r="E108" s="933">
        <v>-226271862</v>
      </c>
      <c r="F108" s="933">
        <v>0</v>
      </c>
      <c r="G108" s="933">
        <v>0</v>
      </c>
      <c r="H108" s="934" t="s">
        <v>901</v>
      </c>
    </row>
    <row r="109" spans="1:8">
      <c r="A109" s="430" t="s">
        <v>578</v>
      </c>
      <c r="B109" s="933"/>
      <c r="C109" s="933"/>
      <c r="D109" s="927"/>
      <c r="E109" s="927"/>
      <c r="F109" s="927"/>
      <c r="G109" s="927"/>
      <c r="H109" s="935"/>
    </row>
    <row r="110" spans="1:8">
      <c r="A110" s="430" t="s">
        <v>579</v>
      </c>
      <c r="B110" s="933"/>
      <c r="C110" s="933"/>
      <c r="D110" s="933"/>
      <c r="E110" s="933"/>
      <c r="F110" s="933"/>
      <c r="G110" s="933"/>
      <c r="H110" s="933"/>
    </row>
    <row r="111" spans="1:8">
      <c r="A111" s="430" t="s">
        <v>580</v>
      </c>
      <c r="B111" s="933"/>
      <c r="C111" s="933"/>
      <c r="D111" s="933"/>
      <c r="E111" s="933"/>
      <c r="F111" s="933"/>
      <c r="G111" s="933"/>
      <c r="H111" s="933"/>
    </row>
    <row r="112" spans="1:8">
      <c r="A112" s="430" t="s">
        <v>296</v>
      </c>
      <c r="B112" s="936"/>
      <c r="C112" s="933"/>
      <c r="D112" s="927"/>
      <c r="E112" s="927"/>
      <c r="F112" s="927"/>
      <c r="G112" s="927"/>
      <c r="H112" s="931"/>
    </row>
    <row r="113" spans="1:8">
      <c r="A113" s="430">
        <v>14</v>
      </c>
      <c r="B113" s="431" t="s">
        <v>1057</v>
      </c>
      <c r="C113" s="432">
        <f>SUM(C104:C112)</f>
        <v>-1446985437</v>
      </c>
      <c r="D113" s="432">
        <f>SUM(D103:D112)</f>
        <v>-1188168321</v>
      </c>
      <c r="E113" s="432">
        <f>SUM(E103:E112)</f>
        <v>-226271862</v>
      </c>
      <c r="F113" s="432">
        <f>SUM(F103:F112)</f>
        <v>0</v>
      </c>
      <c r="G113" s="432">
        <f>SUM(G103:G112)</f>
        <v>-32545254</v>
      </c>
      <c r="H113" s="463"/>
    </row>
    <row r="114" spans="1:8">
      <c r="A114" s="430">
        <v>15</v>
      </c>
      <c r="B114" s="431" t="s">
        <v>563</v>
      </c>
      <c r="C114" s="933">
        <v>-307962710.78626621</v>
      </c>
      <c r="D114" s="933">
        <v>-269117641</v>
      </c>
      <c r="E114" s="933">
        <v>-37128133.286266223</v>
      </c>
      <c r="F114" s="933">
        <v>0</v>
      </c>
      <c r="G114" s="933">
        <v>-1716936.5000000005</v>
      </c>
      <c r="H114" s="931"/>
    </row>
    <row r="115" spans="1:8">
      <c r="A115" s="430">
        <v>16</v>
      </c>
      <c r="B115" s="431" t="s">
        <v>564</v>
      </c>
      <c r="C115" s="927"/>
      <c r="D115" s="927"/>
      <c r="E115" s="937"/>
      <c r="F115" s="927"/>
      <c r="G115" s="927"/>
      <c r="H115" s="931"/>
    </row>
    <row r="116" spans="1:8">
      <c r="A116" s="430">
        <v>17</v>
      </c>
      <c r="B116" s="431" t="s">
        <v>1154</v>
      </c>
      <c r="C116" s="432">
        <f>+C113-C114-C115</f>
        <v>-1139022726.2137337</v>
      </c>
      <c r="D116" s="432">
        <f>+D113-D114-D115</f>
        <v>-919050680</v>
      </c>
      <c r="E116" s="432">
        <f>+E113-E114-E115</f>
        <v>-189143728.71373379</v>
      </c>
      <c r="F116" s="432">
        <f>+F113-F114-F115</f>
        <v>0</v>
      </c>
      <c r="G116" s="432">
        <f>+G113-G114-G115</f>
        <v>-30828317.5</v>
      </c>
      <c r="H116" s="463"/>
    </row>
    <row r="117" spans="1:8">
      <c r="B117" s="435"/>
      <c r="C117" s="464"/>
      <c r="D117" s="464"/>
      <c r="E117" s="464"/>
      <c r="F117" s="464"/>
      <c r="G117" s="415"/>
      <c r="H117" s="465"/>
    </row>
    <row r="118" spans="1:8" ht="15.75" thickBot="1">
      <c r="B118" s="435"/>
      <c r="C118" s="436"/>
      <c r="D118" s="415"/>
      <c r="E118" s="415"/>
      <c r="F118" s="415"/>
      <c r="G118" s="437"/>
      <c r="H118" s="1012"/>
    </row>
    <row r="119" spans="1:8">
      <c r="A119" s="430">
        <v>18</v>
      </c>
      <c r="B119" s="466" t="s">
        <v>581</v>
      </c>
      <c r="C119" s="467"/>
      <c r="D119" s="468"/>
      <c r="E119" s="468"/>
      <c r="F119" s="468"/>
      <c r="G119" s="469"/>
      <c r="H119" s="470"/>
    </row>
    <row r="120" spans="1:8">
      <c r="A120" s="430">
        <v>19</v>
      </c>
      <c r="B120" s="444" t="s">
        <v>566</v>
      </c>
      <c r="C120" s="471"/>
      <c r="D120" s="457"/>
      <c r="E120" s="457"/>
      <c r="F120" s="457"/>
      <c r="G120" s="457"/>
      <c r="H120" s="472"/>
    </row>
    <row r="121" spans="1:8">
      <c r="A121" s="430">
        <v>20</v>
      </c>
      <c r="B121" s="444" t="s">
        <v>567</v>
      </c>
      <c r="C121" s="446"/>
      <c r="D121" s="415"/>
      <c r="E121" s="415"/>
      <c r="F121" s="415"/>
      <c r="G121" s="437"/>
      <c r="H121" s="473"/>
    </row>
    <row r="122" spans="1:8">
      <c r="A122" s="430">
        <v>21</v>
      </c>
      <c r="B122" s="444" t="s">
        <v>568</v>
      </c>
      <c r="C122" s="446"/>
      <c r="D122" s="415"/>
      <c r="E122" s="415"/>
      <c r="F122" s="415"/>
      <c r="G122" s="437"/>
      <c r="H122" s="473"/>
    </row>
    <row r="123" spans="1:8">
      <c r="A123" s="430">
        <v>22</v>
      </c>
      <c r="B123" s="444" t="s">
        <v>569</v>
      </c>
      <c r="C123" s="446"/>
      <c r="D123" s="415"/>
      <c r="E123" s="415"/>
      <c r="F123" s="415"/>
      <c r="G123" s="437"/>
      <c r="H123" s="473"/>
    </row>
    <row r="124" spans="1:8">
      <c r="A124" s="430">
        <v>23</v>
      </c>
      <c r="B124" s="448" t="s">
        <v>570</v>
      </c>
      <c r="C124" s="474"/>
      <c r="D124" s="475"/>
      <c r="E124" s="475"/>
      <c r="F124" s="475"/>
      <c r="G124" s="475"/>
      <c r="H124" s="476"/>
    </row>
    <row r="125" spans="1:8">
      <c r="A125" s="430">
        <v>24</v>
      </c>
      <c r="B125" s="449" t="s">
        <v>571</v>
      </c>
      <c r="C125" s="475"/>
      <c r="D125" s="475"/>
      <c r="E125" s="475"/>
      <c r="F125" s="475"/>
      <c r="G125" s="475"/>
      <c r="H125" s="476"/>
    </row>
    <row r="126" spans="1:8" ht="15.75" thickBot="1">
      <c r="B126" s="450"/>
      <c r="C126" s="477"/>
      <c r="D126" s="478"/>
      <c r="E126" s="478"/>
      <c r="F126" s="478"/>
      <c r="G126" s="479"/>
      <c r="H126" s="480"/>
    </row>
    <row r="127" spans="1:8">
      <c r="B127" s="481"/>
      <c r="C127" s="446"/>
      <c r="D127" s="415"/>
      <c r="E127" s="415"/>
      <c r="F127" s="415"/>
      <c r="G127" s="437"/>
      <c r="H127" s="1012"/>
    </row>
    <row r="128" spans="1:8">
      <c r="B128" s="1057" t="str">
        <f>'4A - ADIT Summary'!$G$65</f>
        <v>PECO Energy Company</v>
      </c>
      <c r="C128" s="1058"/>
      <c r="D128" s="1058"/>
      <c r="E128" s="1058"/>
      <c r="F128" s="1058"/>
      <c r="G128" s="1058"/>
      <c r="H128" s="1058"/>
    </row>
    <row r="129" spans="1:8" ht="15.75">
      <c r="B129" s="413" t="s">
        <v>490</v>
      </c>
      <c r="C129" s="413"/>
      <c r="D129" s="413"/>
      <c r="E129" s="413"/>
      <c r="F129" s="413"/>
      <c r="G129" s="413"/>
      <c r="H129" s="372"/>
    </row>
    <row r="130" spans="1:8">
      <c r="B130" s="413"/>
      <c r="C130" s="413"/>
      <c r="D130" s="413"/>
      <c r="E130" s="413"/>
      <c r="F130" s="413"/>
      <c r="G130" s="413"/>
      <c r="H130" s="417"/>
    </row>
    <row r="131" spans="1:8">
      <c r="B131" s="413"/>
      <c r="C131" s="413"/>
      <c r="D131" s="413"/>
      <c r="E131" s="413"/>
      <c r="F131" s="413"/>
      <c r="G131" s="413"/>
      <c r="H131" s="417" t="s">
        <v>490</v>
      </c>
    </row>
    <row r="132" spans="1:8">
      <c r="B132" s="435"/>
      <c r="C132" s="436"/>
      <c r="D132" s="415"/>
      <c r="E132" s="415"/>
      <c r="F132" s="415"/>
      <c r="G132" s="437"/>
      <c r="H132" s="417" t="s">
        <v>582</v>
      </c>
    </row>
    <row r="133" spans="1:8">
      <c r="B133" s="458" t="s">
        <v>58</v>
      </c>
      <c r="C133" s="419" t="s">
        <v>59</v>
      </c>
      <c r="D133" s="456" t="s">
        <v>60</v>
      </c>
      <c r="E133" s="456" t="s">
        <v>61</v>
      </c>
      <c r="F133" s="456" t="s">
        <v>62</v>
      </c>
      <c r="G133" s="456" t="s">
        <v>63</v>
      </c>
      <c r="H133" s="458" t="s">
        <v>64</v>
      </c>
    </row>
    <row r="134" spans="1:8">
      <c r="B134" s="421" t="s">
        <v>1466</v>
      </c>
      <c r="C134" s="420" t="s">
        <v>13</v>
      </c>
      <c r="D134" s="420" t="s">
        <v>504</v>
      </c>
      <c r="E134" s="414" t="s">
        <v>492</v>
      </c>
      <c r="F134" s="414"/>
      <c r="G134" s="414"/>
      <c r="H134" s="413"/>
    </row>
    <row r="135" spans="1:8">
      <c r="B135" s="413"/>
      <c r="C135" s="420"/>
      <c r="D135" s="420" t="s">
        <v>505</v>
      </c>
      <c r="E135" s="414" t="s">
        <v>17</v>
      </c>
      <c r="F135" s="414" t="s">
        <v>506</v>
      </c>
      <c r="G135" s="414" t="s">
        <v>459</v>
      </c>
      <c r="H135" s="413"/>
    </row>
    <row r="136" spans="1:8">
      <c r="B136" s="460"/>
      <c r="C136" s="461"/>
      <c r="D136" s="420" t="s">
        <v>467</v>
      </c>
      <c r="E136" s="414" t="s">
        <v>467</v>
      </c>
      <c r="F136" s="414" t="s">
        <v>467</v>
      </c>
      <c r="G136" s="414" t="s">
        <v>467</v>
      </c>
      <c r="H136" s="421" t="s">
        <v>507</v>
      </c>
    </row>
    <row r="137" spans="1:8">
      <c r="B137" s="460"/>
      <c r="C137" s="461"/>
      <c r="D137" s="415"/>
      <c r="E137" s="415"/>
      <c r="F137" s="415"/>
      <c r="G137" s="415"/>
      <c r="H137" s="413"/>
    </row>
    <row r="138" spans="1:8">
      <c r="B138" s="460"/>
      <c r="C138" s="461"/>
      <c r="D138" s="415"/>
      <c r="E138" s="415"/>
      <c r="F138" s="415"/>
      <c r="G138" s="415"/>
      <c r="H138" s="413"/>
    </row>
    <row r="139" spans="1:8">
      <c r="A139" s="411">
        <v>25</v>
      </c>
      <c r="B139" s="927" t="s">
        <v>914</v>
      </c>
      <c r="C139" s="927">
        <v>-3337244</v>
      </c>
      <c r="D139" s="927">
        <v>-3337244</v>
      </c>
      <c r="E139" s="927">
        <v>0</v>
      </c>
      <c r="F139" s="927">
        <v>0</v>
      </c>
      <c r="G139" s="927">
        <v>0</v>
      </c>
      <c r="H139" s="934" t="s">
        <v>944</v>
      </c>
    </row>
    <row r="140" spans="1:8">
      <c r="A140" s="411" t="s">
        <v>583</v>
      </c>
      <c r="B140" s="927" t="s">
        <v>903</v>
      </c>
      <c r="C140" s="927">
        <v>-848268</v>
      </c>
      <c r="D140" s="927">
        <v>-848268</v>
      </c>
      <c r="E140" s="927">
        <v>0</v>
      </c>
      <c r="F140" s="927">
        <v>0</v>
      </c>
      <c r="G140" s="927">
        <v>0</v>
      </c>
      <c r="H140" s="934" t="s">
        <v>944</v>
      </c>
    </row>
    <row r="141" spans="1:8">
      <c r="A141" s="411" t="s">
        <v>584</v>
      </c>
      <c r="B141" s="927" t="s">
        <v>915</v>
      </c>
      <c r="C141" s="927">
        <v>-321464</v>
      </c>
      <c r="D141" s="927">
        <v>0</v>
      </c>
      <c r="E141" s="927">
        <v>0</v>
      </c>
      <c r="F141" s="927">
        <v>-321464</v>
      </c>
      <c r="G141" s="927">
        <v>0</v>
      </c>
      <c r="H141" s="934" t="s">
        <v>951</v>
      </c>
    </row>
    <row r="142" spans="1:8">
      <c r="A142" s="411" t="s">
        <v>585</v>
      </c>
      <c r="B142" s="927" t="s">
        <v>904</v>
      </c>
      <c r="C142" s="927">
        <v>-417587</v>
      </c>
      <c r="D142" s="927">
        <v>-417587</v>
      </c>
      <c r="E142" s="927">
        <v>0</v>
      </c>
      <c r="F142" s="927">
        <v>0</v>
      </c>
      <c r="G142" s="927">
        <v>0</v>
      </c>
      <c r="H142" s="934" t="s">
        <v>944</v>
      </c>
    </row>
    <row r="143" spans="1:8">
      <c r="A143" s="430" t="s">
        <v>586</v>
      </c>
      <c r="B143" s="927" t="s">
        <v>905</v>
      </c>
      <c r="C143" s="927">
        <v>-1350453</v>
      </c>
      <c r="D143" s="927">
        <v>-1350453</v>
      </c>
      <c r="E143" s="927">
        <v>0</v>
      </c>
      <c r="F143" s="927">
        <v>0</v>
      </c>
      <c r="G143" s="927">
        <v>0</v>
      </c>
      <c r="H143" s="934" t="s">
        <v>944</v>
      </c>
    </row>
    <row r="144" spans="1:8">
      <c r="A144" s="430" t="s">
        <v>587</v>
      </c>
      <c r="B144" s="927" t="s">
        <v>906</v>
      </c>
      <c r="C144" s="927">
        <v>-68443</v>
      </c>
      <c r="D144" s="927">
        <v>-68443</v>
      </c>
      <c r="E144" s="927">
        <v>0</v>
      </c>
      <c r="F144" s="927">
        <v>0</v>
      </c>
      <c r="G144" s="927">
        <v>0</v>
      </c>
      <c r="H144" s="934" t="s">
        <v>944</v>
      </c>
    </row>
    <row r="145" spans="1:8">
      <c r="A145" s="430" t="s">
        <v>588</v>
      </c>
      <c r="B145" s="927" t="s">
        <v>907</v>
      </c>
      <c r="C145" s="927">
        <v>-415762</v>
      </c>
      <c r="D145" s="927">
        <v>-415762</v>
      </c>
      <c r="E145" s="927">
        <v>0</v>
      </c>
      <c r="F145" s="927">
        <v>0</v>
      </c>
      <c r="G145" s="927">
        <v>0</v>
      </c>
      <c r="H145" s="934" t="s">
        <v>944</v>
      </c>
    </row>
    <row r="146" spans="1:8">
      <c r="A146" s="430" t="s">
        <v>589</v>
      </c>
      <c r="B146" s="927" t="s">
        <v>952</v>
      </c>
      <c r="C146" s="927">
        <v>-203599.37256033</v>
      </c>
      <c r="D146" s="927">
        <v>-203599.37256033</v>
      </c>
      <c r="E146" s="927">
        <v>0</v>
      </c>
      <c r="F146" s="927">
        <v>0</v>
      </c>
      <c r="G146" s="927">
        <v>0</v>
      </c>
      <c r="H146" s="934" t="s">
        <v>944</v>
      </c>
    </row>
    <row r="147" spans="1:8">
      <c r="A147" s="430" t="s">
        <v>590</v>
      </c>
      <c r="B147" s="927" t="s">
        <v>953</v>
      </c>
      <c r="C147" s="927">
        <v>-385014</v>
      </c>
      <c r="D147" s="927">
        <v>-385014</v>
      </c>
      <c r="E147" s="927">
        <v>0</v>
      </c>
      <c r="F147" s="927">
        <v>0</v>
      </c>
      <c r="G147" s="927">
        <v>0</v>
      </c>
      <c r="H147" s="934" t="s">
        <v>944</v>
      </c>
    </row>
    <row r="148" spans="1:8">
      <c r="A148" s="430" t="s">
        <v>591</v>
      </c>
      <c r="B148" s="927" t="s">
        <v>908</v>
      </c>
      <c r="C148" s="927">
        <v>-242518</v>
      </c>
      <c r="D148" s="927">
        <v>0</v>
      </c>
      <c r="E148" s="927">
        <v>0</v>
      </c>
      <c r="F148" s="927">
        <v>0</v>
      </c>
      <c r="G148" s="927">
        <v>-242518</v>
      </c>
      <c r="H148" s="938" t="s">
        <v>954</v>
      </c>
    </row>
    <row r="149" spans="1:8">
      <c r="A149" s="430" t="s">
        <v>592</v>
      </c>
      <c r="B149" s="927" t="s">
        <v>955</v>
      </c>
      <c r="C149" s="927">
        <v>-575647</v>
      </c>
      <c r="D149" s="927">
        <v>-575647</v>
      </c>
      <c r="E149" s="927">
        <v>0</v>
      </c>
      <c r="F149" s="927">
        <v>0</v>
      </c>
      <c r="G149" s="927">
        <v>0</v>
      </c>
      <c r="H149" s="938" t="s">
        <v>878</v>
      </c>
    </row>
    <row r="150" spans="1:8">
      <c r="A150" s="430" t="s">
        <v>593</v>
      </c>
      <c r="B150" s="927" t="s">
        <v>956</v>
      </c>
      <c r="C150" s="927">
        <v>0</v>
      </c>
      <c r="D150" s="927">
        <v>0</v>
      </c>
      <c r="E150" s="927">
        <v>0</v>
      </c>
      <c r="F150" s="927">
        <v>0</v>
      </c>
      <c r="G150" s="927">
        <v>0</v>
      </c>
      <c r="H150" s="934">
        <v>0</v>
      </c>
    </row>
    <row r="151" spans="1:8" ht="30">
      <c r="A151" s="430" t="s">
        <v>594</v>
      </c>
      <c r="B151" s="927" t="s">
        <v>957</v>
      </c>
      <c r="C151" s="927">
        <v>-111361.24659113595</v>
      </c>
      <c r="D151" s="927">
        <v>0</v>
      </c>
      <c r="E151" s="927">
        <v>0</v>
      </c>
      <c r="F151" s="927">
        <v>-111361.24659113595</v>
      </c>
      <c r="G151" s="927">
        <v>0</v>
      </c>
      <c r="H151" s="934" t="s">
        <v>958</v>
      </c>
    </row>
    <row r="152" spans="1:8">
      <c r="A152" s="430" t="s">
        <v>595</v>
      </c>
      <c r="B152" s="927" t="s">
        <v>959</v>
      </c>
      <c r="C152" s="927">
        <v>-1595004.7078475344</v>
      </c>
      <c r="D152" s="927">
        <v>-1595004.7078475344</v>
      </c>
      <c r="E152" s="927">
        <v>0</v>
      </c>
      <c r="F152" s="927">
        <v>0</v>
      </c>
      <c r="G152" s="927">
        <v>0</v>
      </c>
      <c r="H152" s="934" t="s">
        <v>960</v>
      </c>
    </row>
    <row r="153" spans="1:8">
      <c r="A153" s="430" t="s">
        <v>596</v>
      </c>
      <c r="B153" s="927" t="s">
        <v>961</v>
      </c>
      <c r="C153" s="927">
        <v>-3337244.1602963097</v>
      </c>
      <c r="D153" s="927">
        <v>-3337244.1602963097</v>
      </c>
      <c r="E153" s="927">
        <v>0</v>
      </c>
      <c r="F153" s="927">
        <v>0</v>
      </c>
      <c r="G153" s="927">
        <v>0</v>
      </c>
      <c r="H153" s="934" t="s">
        <v>944</v>
      </c>
    </row>
    <row r="154" spans="1:8">
      <c r="A154" s="430" t="s">
        <v>597</v>
      </c>
      <c r="B154" s="927" t="s">
        <v>1246</v>
      </c>
      <c r="C154" s="927">
        <v>-1.1556840035989269E-2</v>
      </c>
      <c r="D154" s="927">
        <v>-1.1556840035989269E-2</v>
      </c>
      <c r="E154" s="927">
        <v>0</v>
      </c>
      <c r="F154" s="927">
        <v>0</v>
      </c>
      <c r="G154" s="927">
        <v>0</v>
      </c>
      <c r="H154" s="934" t="s">
        <v>944</v>
      </c>
    </row>
    <row r="155" spans="1:8">
      <c r="A155" s="430" t="s">
        <v>598</v>
      </c>
      <c r="B155" s="927" t="s">
        <v>1247</v>
      </c>
      <c r="C155" s="927">
        <v>-1567342.1078519998</v>
      </c>
      <c r="D155" s="927">
        <v>-1567342.1078519998</v>
      </c>
      <c r="E155" s="927">
        <v>0</v>
      </c>
      <c r="F155" s="927">
        <v>0</v>
      </c>
      <c r="G155" s="927">
        <v>0</v>
      </c>
      <c r="H155" s="934" t="s">
        <v>944</v>
      </c>
    </row>
    <row r="156" spans="1:8">
      <c r="A156" s="430" t="s">
        <v>599</v>
      </c>
      <c r="B156" s="927" t="s">
        <v>886</v>
      </c>
      <c r="C156" s="927">
        <v>-205033.817364444</v>
      </c>
      <c r="D156" s="927">
        <v>0</v>
      </c>
      <c r="E156" s="927">
        <v>0</v>
      </c>
      <c r="F156" s="927">
        <v>0</v>
      </c>
      <c r="G156" s="927">
        <v>-205033.817364444</v>
      </c>
      <c r="H156" s="934" t="s">
        <v>930</v>
      </c>
    </row>
    <row r="157" spans="1:8" ht="30">
      <c r="A157" s="430" t="s">
        <v>600</v>
      </c>
      <c r="B157" s="927" t="s">
        <v>1248</v>
      </c>
      <c r="C157" s="927">
        <v>-2.8892099984864326E-3</v>
      </c>
      <c r="D157" s="927">
        <v>0</v>
      </c>
      <c r="E157" s="927">
        <v>0</v>
      </c>
      <c r="F157" s="927">
        <v>0</v>
      </c>
      <c r="G157" s="927">
        <v>0</v>
      </c>
      <c r="H157" s="934" t="s">
        <v>963</v>
      </c>
    </row>
    <row r="158" spans="1:8">
      <c r="A158" s="430" t="s">
        <v>601</v>
      </c>
      <c r="B158" s="927" t="s">
        <v>962</v>
      </c>
      <c r="C158" s="927">
        <v>0</v>
      </c>
      <c r="D158" s="927">
        <v>0</v>
      </c>
      <c r="E158" s="927">
        <v>0</v>
      </c>
      <c r="F158" s="927">
        <v>0</v>
      </c>
      <c r="G158" s="927">
        <v>0</v>
      </c>
      <c r="H158" s="934" t="s">
        <v>944</v>
      </c>
    </row>
    <row r="159" spans="1:8" ht="30">
      <c r="A159" s="430" t="s">
        <v>602</v>
      </c>
      <c r="B159" s="927" t="s">
        <v>964</v>
      </c>
      <c r="C159" s="927">
        <v>-1.1556840001303349E-2</v>
      </c>
      <c r="D159" s="927">
        <v>0</v>
      </c>
      <c r="E159" s="927">
        <v>0</v>
      </c>
      <c r="F159" s="927">
        <v>0</v>
      </c>
      <c r="G159" s="927">
        <v>-1.1556840001303349E-2</v>
      </c>
      <c r="H159" s="934" t="s">
        <v>1396</v>
      </c>
    </row>
    <row r="160" spans="1:8">
      <c r="A160" s="430" t="s">
        <v>603</v>
      </c>
      <c r="B160" s="927" t="s">
        <v>892</v>
      </c>
      <c r="C160" s="927">
        <v>237902.43851464428</v>
      </c>
      <c r="D160" s="927">
        <v>237902.43851464428</v>
      </c>
      <c r="E160" s="927">
        <v>0</v>
      </c>
      <c r="F160" s="927">
        <v>0</v>
      </c>
      <c r="G160" s="927">
        <v>0</v>
      </c>
      <c r="H160" s="934" t="s">
        <v>965</v>
      </c>
    </row>
    <row r="161" spans="1:10" ht="30">
      <c r="A161" s="430" t="s">
        <v>604</v>
      </c>
      <c r="B161" s="927" t="s">
        <v>911</v>
      </c>
      <c r="C161" s="927">
        <v>-92669768</v>
      </c>
      <c r="D161" s="927">
        <v>0</v>
      </c>
      <c r="E161" s="927">
        <v>0</v>
      </c>
      <c r="F161" s="927">
        <v>0</v>
      </c>
      <c r="G161" s="927">
        <v>-92669768</v>
      </c>
      <c r="H161" s="934" t="s">
        <v>941</v>
      </c>
    </row>
    <row r="162" spans="1:10">
      <c r="A162" s="430" t="s">
        <v>605</v>
      </c>
      <c r="B162" s="927" t="s">
        <v>1249</v>
      </c>
      <c r="C162" s="927">
        <v>-7896920</v>
      </c>
      <c r="D162" s="927">
        <v>-7896920</v>
      </c>
      <c r="E162" s="927">
        <v>0</v>
      </c>
      <c r="F162" s="927">
        <v>0</v>
      </c>
      <c r="G162" s="927">
        <v>0</v>
      </c>
      <c r="H162" s="934" t="s">
        <v>1250</v>
      </c>
    </row>
    <row r="163" spans="1:10">
      <c r="A163" s="430" t="s">
        <v>606</v>
      </c>
      <c r="B163" s="927" t="s">
        <v>916</v>
      </c>
      <c r="C163" s="927">
        <v>-3278057</v>
      </c>
      <c r="D163" s="927">
        <v>0</v>
      </c>
      <c r="E163" s="927">
        <v>0</v>
      </c>
      <c r="F163" s="927">
        <v>-3278057</v>
      </c>
      <c r="G163" s="927">
        <v>0</v>
      </c>
      <c r="H163" s="934" t="s">
        <v>966</v>
      </c>
    </row>
    <row r="164" spans="1:10">
      <c r="A164" s="430" t="s">
        <v>607</v>
      </c>
      <c r="B164" s="927" t="s">
        <v>1591</v>
      </c>
      <c r="C164" s="927">
        <v>-5001186</v>
      </c>
      <c r="D164" s="927">
        <v>-5001186</v>
      </c>
      <c r="E164" s="927">
        <v>0</v>
      </c>
      <c r="F164" s="927">
        <v>0</v>
      </c>
      <c r="G164" s="927">
        <v>0</v>
      </c>
      <c r="H164" s="934"/>
    </row>
    <row r="165" spans="1:10">
      <c r="A165" s="430" t="s">
        <v>608</v>
      </c>
      <c r="B165" s="927" t="s">
        <v>1591</v>
      </c>
      <c r="C165" s="927">
        <v>0</v>
      </c>
      <c r="D165" s="927">
        <v>0</v>
      </c>
      <c r="E165" s="927">
        <v>0</v>
      </c>
      <c r="F165" s="927">
        <v>0</v>
      </c>
      <c r="G165" s="927">
        <v>0</v>
      </c>
      <c r="H165" s="939"/>
    </row>
    <row r="166" spans="1:10">
      <c r="A166" s="430" t="s">
        <v>609</v>
      </c>
      <c r="B166" s="927"/>
      <c r="C166" s="927"/>
      <c r="D166" s="927"/>
      <c r="E166" s="927"/>
      <c r="F166" s="927"/>
      <c r="G166" s="927"/>
      <c r="H166" s="930"/>
    </row>
    <row r="167" spans="1:10">
      <c r="A167" s="430" t="s">
        <v>610</v>
      </c>
      <c r="B167" s="939"/>
      <c r="C167" s="927"/>
      <c r="D167" s="927"/>
      <c r="E167" s="927"/>
      <c r="F167" s="927"/>
      <c r="G167" s="927"/>
      <c r="H167" s="939"/>
    </row>
    <row r="168" spans="1:10">
      <c r="A168" s="430" t="s">
        <v>611</v>
      </c>
      <c r="B168" s="939"/>
      <c r="C168" s="927"/>
      <c r="D168" s="927"/>
      <c r="E168" s="927"/>
      <c r="F168" s="927"/>
      <c r="G168" s="927"/>
      <c r="H168" s="940"/>
    </row>
    <row r="169" spans="1:10">
      <c r="A169" s="430" t="s">
        <v>612</v>
      </c>
      <c r="B169" s="939"/>
      <c r="C169" s="927"/>
      <c r="D169" s="927"/>
      <c r="E169" s="927"/>
      <c r="F169" s="927"/>
      <c r="G169" s="927"/>
      <c r="H169" s="939"/>
    </row>
    <row r="170" spans="1:10">
      <c r="A170" s="430" t="s">
        <v>613</v>
      </c>
      <c r="B170" s="941"/>
      <c r="C170" s="927"/>
      <c r="D170" s="927"/>
      <c r="E170" s="927"/>
      <c r="F170" s="927"/>
      <c r="G170" s="927"/>
      <c r="H170" s="941"/>
    </row>
    <row r="171" spans="1:10">
      <c r="A171" s="411" t="s">
        <v>614</v>
      </c>
      <c r="B171" s="936"/>
      <c r="C171" s="927"/>
      <c r="D171" s="927"/>
      <c r="E171" s="927"/>
      <c r="F171" s="927"/>
      <c r="G171" s="927"/>
      <c r="H171" s="942"/>
    </row>
    <row r="172" spans="1:10">
      <c r="A172" s="411" t="s">
        <v>615</v>
      </c>
      <c r="B172" s="943"/>
      <c r="C172" s="927"/>
      <c r="D172" s="927"/>
      <c r="E172" s="927"/>
      <c r="F172" s="927"/>
      <c r="G172" s="927"/>
      <c r="H172" s="941"/>
    </row>
    <row r="173" spans="1:10">
      <c r="A173" s="430" t="s">
        <v>615</v>
      </c>
      <c r="B173" s="936"/>
      <c r="C173" s="927"/>
      <c r="D173" s="927"/>
      <c r="E173" s="927"/>
      <c r="F173" s="927"/>
      <c r="G173" s="927"/>
      <c r="H173" s="936"/>
    </row>
    <row r="174" spans="1:10">
      <c r="A174" s="411">
        <v>26</v>
      </c>
      <c r="B174" s="431" t="s">
        <v>1059</v>
      </c>
      <c r="C174" s="482">
        <f>SUM(C139:C173)</f>
        <v>-123590014</v>
      </c>
      <c r="D174" s="482">
        <f>SUM(D139:D173)</f>
        <v>-26761811.921598367</v>
      </c>
      <c r="E174" s="482">
        <f>SUM(E136:E173)</f>
        <v>0</v>
      </c>
      <c r="F174" s="482">
        <f>SUM(F136:F173)</f>
        <v>-3710882.2465911359</v>
      </c>
      <c r="G174" s="482">
        <f>SUM(G136:G173)</f>
        <v>-93117319.828921288</v>
      </c>
      <c r="H174" s="483"/>
      <c r="J174" s="434"/>
    </row>
    <row r="175" spans="1:10">
      <c r="A175" s="411">
        <v>27</v>
      </c>
      <c r="B175" s="431" t="s">
        <v>563</v>
      </c>
      <c r="C175" s="937">
        <v>15566921.682643324</v>
      </c>
      <c r="D175" s="937">
        <v>-1984445.7999999998</v>
      </c>
      <c r="E175" s="937">
        <v>0</v>
      </c>
      <c r="F175" s="937">
        <v>1871051.8</v>
      </c>
      <c r="G175" s="937">
        <v>15680315.682643324</v>
      </c>
      <c r="H175" s="936"/>
    </row>
    <row r="176" spans="1:10">
      <c r="A176" s="411">
        <v>28</v>
      </c>
      <c r="B176" s="431" t="s">
        <v>564</v>
      </c>
      <c r="C176" s="927"/>
      <c r="D176" s="944"/>
      <c r="E176" s="944"/>
      <c r="F176" s="944"/>
      <c r="G176" s="944"/>
      <c r="H176" s="936"/>
    </row>
    <row r="177" spans="1:8">
      <c r="A177" s="430">
        <v>29</v>
      </c>
      <c r="B177" s="431" t="s">
        <v>13</v>
      </c>
      <c r="C177" s="482">
        <f>C174-C175-C176</f>
        <v>-139156935.68264332</v>
      </c>
      <c r="D177" s="482">
        <f>+D174-D175-D176</f>
        <v>-24777366.121598367</v>
      </c>
      <c r="E177" s="482">
        <f>+E174-E175-E176</f>
        <v>0</v>
      </c>
      <c r="F177" s="482">
        <f>+F174-F175-F176</f>
        <v>-5581934.0465911357</v>
      </c>
      <c r="G177" s="482">
        <f>+G174-G175-G176</f>
        <v>-108797635.51156461</v>
      </c>
      <c r="H177" s="483"/>
    </row>
    <row r="178" spans="1:8" ht="15.75" thickBot="1">
      <c r="A178" s="430"/>
      <c r="B178" s="435"/>
      <c r="C178" s="484"/>
      <c r="D178" s="484"/>
      <c r="E178" s="484"/>
      <c r="F178" s="484"/>
      <c r="G178" s="484"/>
      <c r="H178" s="460"/>
    </row>
    <row r="179" spans="1:8">
      <c r="A179" s="430">
        <v>30</v>
      </c>
      <c r="B179" s="466" t="s">
        <v>616</v>
      </c>
    </row>
    <row r="180" spans="1:8">
      <c r="A180" s="430">
        <v>31</v>
      </c>
      <c r="B180" s="444" t="s">
        <v>566</v>
      </c>
    </row>
    <row r="181" spans="1:8">
      <c r="A181" s="430">
        <v>32</v>
      </c>
      <c r="B181" s="444" t="s">
        <v>567</v>
      </c>
    </row>
    <row r="182" spans="1:8">
      <c r="A182" s="430">
        <v>33</v>
      </c>
      <c r="B182" s="444" t="s">
        <v>568</v>
      </c>
    </row>
    <row r="183" spans="1:8">
      <c r="A183" s="430">
        <v>34</v>
      </c>
      <c r="B183" s="444" t="s">
        <v>569</v>
      </c>
    </row>
    <row r="184" spans="1:8">
      <c r="A184" s="430">
        <v>35</v>
      </c>
      <c r="B184" s="448" t="s">
        <v>570</v>
      </c>
    </row>
    <row r="185" spans="1:8">
      <c r="A185" s="430">
        <v>36</v>
      </c>
      <c r="B185" s="449" t="s">
        <v>571</v>
      </c>
    </row>
    <row r="186" spans="1:8">
      <c r="B186" s="481"/>
    </row>
    <row r="187" spans="1:8">
      <c r="B187" s="413"/>
    </row>
    <row r="188" spans="1:8">
      <c r="B188" s="413"/>
    </row>
  </sheetData>
  <sheetProtection algorithmName="SHA-512" hashValue="CfBj9/EdtoEg6vBkLRmTOxob+pzE4u7YEnzllQ8aR0dc7Ky0gd45PCzZJebUD1VWMpcx7mAAn5oWmyIHX795WQ==" saltValue="brJwZ20NZEIKflwf59EXmw==" spinCount="100000" sheet="1" objects="1" scenarios="1"/>
  <mergeCells count="4">
    <mergeCell ref="B1:H1"/>
    <mergeCell ref="B91:H91"/>
    <mergeCell ref="B128:H128"/>
    <mergeCell ref="B2:H2"/>
  </mergeCells>
  <pageMargins left="0.7" right="0.7" top="0.75" bottom="0.75" header="0.3" footer="0.3"/>
  <pageSetup scale="42" fitToHeight="0" orientation="landscape" r:id="rId1"/>
  <rowBreaks count="2" manualBreakCount="2">
    <brk id="90" max="7" man="1"/>
    <brk id="126" max="7" man="1"/>
  </rowBreaks>
  <ignoredErrors>
    <ignoredError sqref="C174:G174 C113:G1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80"/>
  <sheetViews>
    <sheetView view="pageBreakPreview" topLeftCell="A31" zoomScale="80" zoomScaleNormal="80" zoomScaleSheetLayoutView="80" workbookViewId="0">
      <selection activeCell="G46" sqref="G46"/>
    </sheetView>
  </sheetViews>
  <sheetFormatPr defaultColWidth="8.88671875" defaultRowHeight="15"/>
  <cols>
    <col min="1" max="1" width="4.88671875" style="411" customWidth="1"/>
    <col min="2" max="2" width="51.33203125" style="371" customWidth="1"/>
    <col min="3" max="7" width="17.33203125" style="371" customWidth="1"/>
    <col min="8" max="8" width="103.77734375" style="494" customWidth="1"/>
    <col min="9" max="9" width="8.88671875" style="370"/>
    <col min="10" max="10" width="8.77734375" style="370" customWidth="1"/>
    <col min="11" max="16384" width="8.88671875" style="370"/>
  </cols>
  <sheetData>
    <row r="1" spans="1:9">
      <c r="B1" s="1055" t="s">
        <v>1062</v>
      </c>
      <c r="C1" s="1056"/>
      <c r="D1" s="1056"/>
      <c r="E1" s="1056"/>
      <c r="F1" s="1056"/>
      <c r="G1" s="1056"/>
      <c r="H1" s="1056"/>
      <c r="I1" s="373"/>
    </row>
    <row r="2" spans="1:9">
      <c r="B2" s="1057" t="str">
        <f>'4A - ADIT Summary'!$G$65</f>
        <v>PECO Energy Company</v>
      </c>
      <c r="C2" s="1058"/>
      <c r="D2" s="1058"/>
      <c r="E2" s="1058"/>
      <c r="F2" s="1058"/>
      <c r="G2" s="1058"/>
      <c r="H2" s="1058"/>
      <c r="I2" s="373"/>
    </row>
    <row r="3" spans="1:9">
      <c r="B3" s="413" t="s">
        <v>617</v>
      </c>
      <c r="C3" s="413"/>
      <c r="D3" s="413"/>
      <c r="E3" s="413"/>
      <c r="F3" s="413"/>
      <c r="G3" s="413"/>
      <c r="H3" s="487"/>
      <c r="I3" s="373"/>
    </row>
    <row r="4" spans="1:9">
      <c r="B4" s="458" t="s">
        <v>58</v>
      </c>
      <c r="C4" s="456" t="s">
        <v>59</v>
      </c>
      <c r="D4" s="456" t="s">
        <v>60</v>
      </c>
      <c r="E4" s="456" t="s">
        <v>61</v>
      </c>
      <c r="F4" s="456" t="s">
        <v>62</v>
      </c>
      <c r="G4" s="456" t="s">
        <v>63</v>
      </c>
      <c r="H4" s="487" t="s">
        <v>617</v>
      </c>
      <c r="I4" s="373"/>
    </row>
    <row r="5" spans="1:9">
      <c r="B5" s="413"/>
      <c r="C5" s="413"/>
      <c r="D5" s="420" t="s">
        <v>504</v>
      </c>
      <c r="E5" s="414" t="s">
        <v>492</v>
      </c>
      <c r="F5" s="415"/>
      <c r="G5" s="414"/>
      <c r="H5" s="487" t="s">
        <v>491</v>
      </c>
      <c r="I5" s="373"/>
    </row>
    <row r="6" spans="1:9">
      <c r="B6" s="413"/>
      <c r="C6" s="413"/>
      <c r="D6" s="420" t="s">
        <v>505</v>
      </c>
      <c r="E6" s="414" t="s">
        <v>17</v>
      </c>
      <c r="F6" s="414" t="s">
        <v>506</v>
      </c>
      <c r="G6" s="414" t="s">
        <v>459</v>
      </c>
      <c r="H6" s="488"/>
      <c r="I6" s="373"/>
    </row>
    <row r="7" spans="1:9">
      <c r="B7" s="413"/>
      <c r="C7" s="385" t="s">
        <v>13</v>
      </c>
      <c r="D7" s="420" t="s">
        <v>467</v>
      </c>
      <c r="E7" s="414" t="s">
        <v>467</v>
      </c>
      <c r="F7" s="414" t="s">
        <v>467</v>
      </c>
      <c r="G7" s="414" t="s">
        <v>467</v>
      </c>
      <c r="H7" s="488"/>
      <c r="I7" s="373"/>
    </row>
    <row r="8" spans="1:9">
      <c r="B8" s="413"/>
      <c r="C8" s="413"/>
      <c r="D8" s="413"/>
      <c r="E8" s="415"/>
      <c r="F8" s="415"/>
      <c r="G8" s="415"/>
      <c r="H8" s="487"/>
      <c r="I8" s="373"/>
    </row>
    <row r="9" spans="1:9">
      <c r="A9" s="411" t="s">
        <v>493</v>
      </c>
      <c r="B9" s="421" t="s">
        <v>474</v>
      </c>
      <c r="C9" s="489">
        <f>+C111</f>
        <v>-1261244191.7069497</v>
      </c>
      <c r="D9" s="413"/>
      <c r="E9" s="489">
        <f>E111</f>
        <v>-200390142.88362911</v>
      </c>
      <c r="F9" s="489">
        <f>F111</f>
        <v>0</v>
      </c>
      <c r="G9" s="489">
        <f>G111</f>
        <v>-31198495.823320538</v>
      </c>
      <c r="H9" s="475" t="s">
        <v>496</v>
      </c>
      <c r="I9" s="373"/>
    </row>
    <row r="10" spans="1:9">
      <c r="A10" s="411" t="s">
        <v>495</v>
      </c>
      <c r="B10" s="421" t="s">
        <v>480</v>
      </c>
      <c r="C10" s="489">
        <f>+C171</f>
        <v>-129949789.65678923</v>
      </c>
      <c r="D10" s="413"/>
      <c r="E10" s="489">
        <f>E171</f>
        <v>0</v>
      </c>
      <c r="F10" s="489">
        <f>F171</f>
        <v>-5165133.0714999996</v>
      </c>
      <c r="G10" s="489">
        <f>G171</f>
        <v>-104384870.66503523</v>
      </c>
      <c r="H10" s="475" t="s">
        <v>498</v>
      </c>
      <c r="I10" s="373"/>
    </row>
    <row r="11" spans="1:9">
      <c r="A11" s="411" t="s">
        <v>497</v>
      </c>
      <c r="B11" s="421" t="s">
        <v>483</v>
      </c>
      <c r="C11" s="489">
        <f>+C76</f>
        <v>169734783.94518024</v>
      </c>
      <c r="D11" s="413"/>
      <c r="E11" s="489">
        <f>E76</f>
        <v>0</v>
      </c>
      <c r="F11" s="489">
        <f>F76</f>
        <v>19259192.784540229</v>
      </c>
      <c r="G11" s="489">
        <f>G76</f>
        <v>116408740.36</v>
      </c>
      <c r="H11" s="475" t="s">
        <v>494</v>
      </c>
      <c r="I11" s="373"/>
    </row>
    <row r="12" spans="1:9">
      <c r="A12" s="411" t="s">
        <v>499</v>
      </c>
      <c r="B12" s="421" t="s">
        <v>500</v>
      </c>
      <c r="C12" s="489">
        <f>SUM(C9:C11)</f>
        <v>-1221459197.4185588</v>
      </c>
      <c r="D12" s="413"/>
      <c r="E12" s="489">
        <f>SUM(E9:E11)</f>
        <v>-200390142.88362911</v>
      </c>
      <c r="F12" s="489">
        <f>SUM(F9:F11)</f>
        <v>14094059.713040229</v>
      </c>
      <c r="G12" s="489">
        <f>SUM(G9:G11)</f>
        <v>-19174626.128355756</v>
      </c>
      <c r="H12" s="475" t="s">
        <v>501</v>
      </c>
      <c r="I12" s="373"/>
    </row>
    <row r="13" spans="1:9">
      <c r="B13" s="421"/>
      <c r="C13" s="489"/>
      <c r="D13" s="489"/>
      <c r="E13" s="490"/>
      <c r="F13" s="490"/>
      <c r="G13" s="490"/>
      <c r="H13" s="491"/>
      <c r="I13" s="373"/>
    </row>
    <row r="14" spans="1:9">
      <c r="B14" s="413"/>
      <c r="C14" s="489"/>
      <c r="D14" s="489"/>
      <c r="E14" s="489"/>
      <c r="F14" s="489"/>
      <c r="G14" s="489"/>
      <c r="H14" s="491"/>
      <c r="I14" s="373"/>
    </row>
    <row r="15" spans="1:9">
      <c r="B15" s="421"/>
      <c r="C15" s="489"/>
      <c r="D15" s="489"/>
      <c r="E15" s="489"/>
      <c r="F15" s="489"/>
      <c r="G15" s="489"/>
      <c r="H15" s="492"/>
      <c r="I15" s="373"/>
    </row>
    <row r="16" spans="1:9">
      <c r="B16" s="413"/>
      <c r="C16" s="415"/>
      <c r="D16" s="415"/>
      <c r="E16" s="415"/>
      <c r="F16" s="415"/>
      <c r="G16" s="415"/>
      <c r="H16" s="488"/>
      <c r="I16" s="373"/>
    </row>
    <row r="17" spans="1:12">
      <c r="A17" s="411" t="s">
        <v>8</v>
      </c>
      <c r="B17" s="412" t="s">
        <v>502</v>
      </c>
      <c r="C17" s="493"/>
      <c r="D17" s="415"/>
      <c r="E17" s="415"/>
      <c r="F17" s="415"/>
      <c r="G17" s="415"/>
      <c r="H17" s="488"/>
      <c r="I17" s="373"/>
    </row>
    <row r="18" spans="1:12">
      <c r="B18" s="424" t="s">
        <v>503</v>
      </c>
      <c r="C18" s="425"/>
      <c r="D18" s="406"/>
      <c r="E18" s="406"/>
      <c r="F18" s="406"/>
      <c r="G18" s="406"/>
    </row>
    <row r="19" spans="1:12">
      <c r="B19" s="418" t="s">
        <v>58</v>
      </c>
      <c r="C19" s="419" t="s">
        <v>59</v>
      </c>
      <c r="D19" s="419" t="s">
        <v>60</v>
      </c>
      <c r="E19" s="419" t="s">
        <v>61</v>
      </c>
      <c r="F19" s="419" t="s">
        <v>62</v>
      </c>
      <c r="G19" s="419" t="s">
        <v>63</v>
      </c>
      <c r="H19" s="495" t="s">
        <v>64</v>
      </c>
    </row>
    <row r="20" spans="1:12">
      <c r="B20" s="426" t="s">
        <v>1464</v>
      </c>
      <c r="C20" s="420" t="s">
        <v>13</v>
      </c>
      <c r="D20" s="420" t="s">
        <v>504</v>
      </c>
      <c r="E20" s="420" t="s">
        <v>492</v>
      </c>
      <c r="F20" s="420"/>
      <c r="G20" s="420"/>
    </row>
    <row r="21" spans="1:12">
      <c r="A21" s="411">
        <v>1</v>
      </c>
      <c r="C21" s="420"/>
      <c r="D21" s="420" t="s">
        <v>505</v>
      </c>
      <c r="E21" s="420" t="s">
        <v>17</v>
      </c>
      <c r="F21" s="420" t="s">
        <v>506</v>
      </c>
      <c r="G21" s="420" t="s">
        <v>459</v>
      </c>
    </row>
    <row r="22" spans="1:12">
      <c r="A22" s="411" t="s">
        <v>508</v>
      </c>
      <c r="C22" s="420"/>
      <c r="D22" s="420" t="s">
        <v>467</v>
      </c>
      <c r="E22" s="420" t="s">
        <v>467</v>
      </c>
      <c r="F22" s="420" t="s">
        <v>467</v>
      </c>
      <c r="G22" s="420" t="s">
        <v>467</v>
      </c>
      <c r="H22" s="496" t="s">
        <v>507</v>
      </c>
    </row>
    <row r="23" spans="1:12">
      <c r="A23" s="411" t="s">
        <v>509</v>
      </c>
      <c r="B23" s="428"/>
      <c r="C23" s="429"/>
      <c r="D23" s="497"/>
      <c r="E23" s="406"/>
      <c r="F23" s="406"/>
      <c r="G23" s="406"/>
    </row>
    <row r="24" spans="1:12" ht="45">
      <c r="A24" s="411" t="s">
        <v>510</v>
      </c>
      <c r="B24" s="945" t="s">
        <v>877</v>
      </c>
      <c r="C24" s="485">
        <v>429824</v>
      </c>
      <c r="D24" s="485">
        <v>429824</v>
      </c>
      <c r="E24" s="485">
        <v>0</v>
      </c>
      <c r="F24" s="485">
        <v>0</v>
      </c>
      <c r="G24" s="485">
        <v>0</v>
      </c>
      <c r="H24" s="486" t="s">
        <v>925</v>
      </c>
      <c r="L24" s="498"/>
    </row>
    <row r="25" spans="1:12">
      <c r="A25" s="430" t="s">
        <v>511</v>
      </c>
      <c r="B25" s="945" t="s">
        <v>879</v>
      </c>
      <c r="C25" s="485">
        <v>1541792</v>
      </c>
      <c r="D25" s="485">
        <v>0</v>
      </c>
      <c r="E25" s="485">
        <v>0</v>
      </c>
      <c r="F25" s="485">
        <v>0</v>
      </c>
      <c r="G25" s="485">
        <v>1541792</v>
      </c>
      <c r="H25" s="486" t="s">
        <v>926</v>
      </c>
    </row>
    <row r="26" spans="1:12">
      <c r="A26" s="430" t="s">
        <v>512</v>
      </c>
      <c r="B26" s="945" t="s">
        <v>880</v>
      </c>
      <c r="C26" s="485">
        <v>1122149</v>
      </c>
      <c r="D26" s="485">
        <v>0</v>
      </c>
      <c r="E26" s="485">
        <v>0</v>
      </c>
      <c r="F26" s="485">
        <v>0</v>
      </c>
      <c r="G26" s="485">
        <v>1122149</v>
      </c>
      <c r="H26" s="486" t="s">
        <v>927</v>
      </c>
    </row>
    <row r="27" spans="1:12">
      <c r="A27" s="430" t="s">
        <v>513</v>
      </c>
      <c r="B27" s="945" t="s">
        <v>881</v>
      </c>
      <c r="C27" s="485">
        <v>0</v>
      </c>
      <c r="D27" s="485">
        <v>0</v>
      </c>
      <c r="E27" s="485">
        <v>0</v>
      </c>
      <c r="F27" s="485">
        <v>0</v>
      </c>
      <c r="G27" s="485">
        <v>0</v>
      </c>
      <c r="H27" s="486" t="s">
        <v>878</v>
      </c>
    </row>
    <row r="28" spans="1:12" ht="30">
      <c r="A28" s="430" t="s">
        <v>514</v>
      </c>
      <c r="B28" s="945" t="s">
        <v>882</v>
      </c>
      <c r="C28" s="485">
        <v>15150483</v>
      </c>
      <c r="D28" s="485">
        <v>15150483</v>
      </c>
      <c r="E28" s="485">
        <v>0</v>
      </c>
      <c r="F28" s="485">
        <v>0</v>
      </c>
      <c r="G28" s="485">
        <v>0</v>
      </c>
      <c r="H28" s="486" t="s">
        <v>928</v>
      </c>
    </row>
    <row r="29" spans="1:12">
      <c r="A29" s="430" t="s">
        <v>515</v>
      </c>
      <c r="B29" s="945" t="s">
        <v>883</v>
      </c>
      <c r="C29" s="485">
        <v>2115506</v>
      </c>
      <c r="D29" s="485">
        <v>2115506</v>
      </c>
      <c r="E29" s="485">
        <v>0</v>
      </c>
      <c r="F29" s="485">
        <v>0</v>
      </c>
      <c r="G29" s="485">
        <v>0</v>
      </c>
      <c r="H29" s="486" t="s">
        <v>878</v>
      </c>
    </row>
    <row r="30" spans="1:12">
      <c r="A30" s="430" t="s">
        <v>516</v>
      </c>
      <c r="B30" s="945" t="s">
        <v>884</v>
      </c>
      <c r="C30" s="485">
        <v>767529</v>
      </c>
      <c r="D30" s="485">
        <v>767529</v>
      </c>
      <c r="E30" s="485">
        <v>0</v>
      </c>
      <c r="F30" s="485">
        <v>0</v>
      </c>
      <c r="G30" s="485">
        <v>0</v>
      </c>
      <c r="H30" s="486" t="s">
        <v>878</v>
      </c>
    </row>
    <row r="31" spans="1:12" ht="30">
      <c r="A31" s="430" t="s">
        <v>517</v>
      </c>
      <c r="B31" s="945" t="s">
        <v>885</v>
      </c>
      <c r="C31" s="485">
        <v>2126325</v>
      </c>
      <c r="D31" s="485">
        <v>2126325</v>
      </c>
      <c r="E31" s="485">
        <v>0</v>
      </c>
      <c r="F31" s="485">
        <v>0</v>
      </c>
      <c r="G31" s="485">
        <v>0</v>
      </c>
      <c r="H31" s="486" t="s">
        <v>929</v>
      </c>
    </row>
    <row r="32" spans="1:12">
      <c r="A32" s="430" t="s">
        <v>518</v>
      </c>
      <c r="B32" s="945" t="s">
        <v>1240</v>
      </c>
      <c r="C32" s="485">
        <v>243866</v>
      </c>
      <c r="D32" s="485">
        <v>243866</v>
      </c>
      <c r="E32" s="485">
        <v>0</v>
      </c>
      <c r="F32" s="485">
        <v>0</v>
      </c>
      <c r="G32" s="485">
        <v>0</v>
      </c>
      <c r="H32" s="486" t="s">
        <v>878</v>
      </c>
    </row>
    <row r="33" spans="1:13">
      <c r="A33" s="430" t="s">
        <v>519</v>
      </c>
      <c r="B33" s="945" t="s">
        <v>886</v>
      </c>
      <c r="C33" s="485">
        <v>18627</v>
      </c>
      <c r="D33" s="485">
        <v>0</v>
      </c>
      <c r="E33" s="485">
        <v>0</v>
      </c>
      <c r="F33" s="485">
        <v>0</v>
      </c>
      <c r="G33" s="485">
        <v>18627</v>
      </c>
      <c r="H33" s="926" t="s">
        <v>930</v>
      </c>
    </row>
    <row r="34" spans="1:13">
      <c r="A34" s="430" t="s">
        <v>520</v>
      </c>
      <c r="B34" s="945" t="s">
        <v>1241</v>
      </c>
      <c r="C34" s="485">
        <v>0</v>
      </c>
      <c r="D34" s="485">
        <v>0</v>
      </c>
      <c r="E34" s="485">
        <v>0</v>
      </c>
      <c r="F34" s="485">
        <v>0</v>
      </c>
      <c r="G34" s="485">
        <v>0</v>
      </c>
      <c r="H34" s="926" t="s">
        <v>1242</v>
      </c>
    </row>
    <row r="35" spans="1:13" ht="30">
      <c r="A35" s="430" t="s">
        <v>521</v>
      </c>
      <c r="B35" s="945" t="s">
        <v>909</v>
      </c>
      <c r="C35" s="485">
        <v>5603925</v>
      </c>
      <c r="D35" s="485">
        <v>5603925</v>
      </c>
      <c r="E35" s="485">
        <v>0</v>
      </c>
      <c r="F35" s="485">
        <v>0</v>
      </c>
      <c r="G35" s="485">
        <v>0</v>
      </c>
      <c r="H35" s="486" t="s">
        <v>1395</v>
      </c>
    </row>
    <row r="36" spans="1:13">
      <c r="A36" s="430" t="s">
        <v>522</v>
      </c>
      <c r="B36" s="945"/>
      <c r="C36" s="485">
        <v>0</v>
      </c>
      <c r="D36" s="485">
        <v>0</v>
      </c>
      <c r="E36" s="485">
        <v>0</v>
      </c>
      <c r="F36" s="485">
        <v>0</v>
      </c>
      <c r="G36" s="485">
        <v>0</v>
      </c>
      <c r="H36" s="486" t="s">
        <v>878</v>
      </c>
    </row>
    <row r="37" spans="1:13">
      <c r="A37" s="430" t="s">
        <v>523</v>
      </c>
      <c r="B37" s="945" t="s">
        <v>910</v>
      </c>
      <c r="C37" s="485">
        <v>11559004</v>
      </c>
      <c r="D37" s="485">
        <v>0</v>
      </c>
      <c r="E37" s="485">
        <v>0</v>
      </c>
      <c r="F37" s="485">
        <v>0</v>
      </c>
      <c r="G37" s="485">
        <v>11559004</v>
      </c>
      <c r="H37" s="486" t="s">
        <v>931</v>
      </c>
    </row>
    <row r="38" spans="1:13">
      <c r="A38" s="430" t="s">
        <v>524</v>
      </c>
      <c r="B38" s="945" t="s">
        <v>888</v>
      </c>
      <c r="C38" s="485">
        <v>0</v>
      </c>
      <c r="D38" s="485">
        <v>0</v>
      </c>
      <c r="E38" s="485">
        <v>0</v>
      </c>
      <c r="F38" s="485">
        <v>0</v>
      </c>
      <c r="G38" s="485">
        <v>0</v>
      </c>
      <c r="H38" s="486" t="s">
        <v>932</v>
      </c>
    </row>
    <row r="39" spans="1:13">
      <c r="A39" s="430" t="s">
        <v>525</v>
      </c>
      <c r="B39" s="945" t="s">
        <v>889</v>
      </c>
      <c r="C39" s="485">
        <v>0</v>
      </c>
      <c r="D39" s="485">
        <v>0</v>
      </c>
      <c r="E39" s="485">
        <v>0</v>
      </c>
      <c r="F39" s="485">
        <v>0</v>
      </c>
      <c r="G39" s="485">
        <v>0</v>
      </c>
      <c r="H39" s="486" t="s">
        <v>878</v>
      </c>
    </row>
    <row r="40" spans="1:13">
      <c r="A40" s="430" t="s">
        <v>526</v>
      </c>
      <c r="B40" s="945" t="s">
        <v>933</v>
      </c>
      <c r="C40" s="485">
        <v>0</v>
      </c>
      <c r="D40" s="485">
        <v>0</v>
      </c>
      <c r="E40" s="485">
        <v>0</v>
      </c>
      <c r="F40" s="485">
        <v>0</v>
      </c>
      <c r="G40" s="485">
        <v>0</v>
      </c>
      <c r="H40" s="486" t="s">
        <v>878</v>
      </c>
    </row>
    <row r="41" spans="1:13">
      <c r="A41" s="430" t="s">
        <v>527</v>
      </c>
      <c r="B41" s="945" t="s">
        <v>890</v>
      </c>
      <c r="C41" s="485">
        <v>530272</v>
      </c>
      <c r="D41" s="485">
        <v>530272</v>
      </c>
      <c r="E41" s="485">
        <v>0</v>
      </c>
      <c r="F41" s="485">
        <v>0</v>
      </c>
      <c r="G41" s="485">
        <v>0</v>
      </c>
      <c r="H41" s="926" t="s">
        <v>878</v>
      </c>
    </row>
    <row r="42" spans="1:13">
      <c r="A42" s="430" t="s">
        <v>528</v>
      </c>
      <c r="B42" s="945" t="s">
        <v>891</v>
      </c>
      <c r="C42" s="485">
        <v>0</v>
      </c>
      <c r="D42" s="485">
        <v>0</v>
      </c>
      <c r="E42" s="485">
        <v>0</v>
      </c>
      <c r="F42" s="485">
        <v>0</v>
      </c>
      <c r="G42" s="485">
        <v>0</v>
      </c>
      <c r="H42" s="926"/>
    </row>
    <row r="43" spans="1:13">
      <c r="A43" s="430" t="s">
        <v>529</v>
      </c>
      <c r="B43" s="945" t="s">
        <v>934</v>
      </c>
      <c r="C43" s="485">
        <v>0</v>
      </c>
      <c r="D43" s="485">
        <v>0</v>
      </c>
      <c r="E43" s="485">
        <v>0</v>
      </c>
      <c r="F43" s="485">
        <v>0</v>
      </c>
      <c r="G43" s="485">
        <v>0</v>
      </c>
      <c r="H43" s="926" t="s">
        <v>935</v>
      </c>
    </row>
    <row r="44" spans="1:13">
      <c r="A44" s="430" t="s">
        <v>530</v>
      </c>
      <c r="B44" s="945" t="s">
        <v>936</v>
      </c>
      <c r="C44" s="485">
        <v>86745</v>
      </c>
      <c r="D44" s="485">
        <v>86745</v>
      </c>
      <c r="E44" s="485">
        <v>0</v>
      </c>
      <c r="F44" s="485">
        <v>0</v>
      </c>
      <c r="G44" s="485">
        <v>0</v>
      </c>
      <c r="H44" s="926" t="s">
        <v>878</v>
      </c>
    </row>
    <row r="45" spans="1:13">
      <c r="A45" s="430" t="s">
        <v>531</v>
      </c>
      <c r="B45" s="945" t="s">
        <v>937</v>
      </c>
      <c r="C45" s="485">
        <v>70225.292108231806</v>
      </c>
      <c r="D45" s="485">
        <v>0</v>
      </c>
      <c r="E45" s="485">
        <v>0</v>
      </c>
      <c r="F45" s="485">
        <v>70225.292108231806</v>
      </c>
      <c r="G45" s="485">
        <v>0</v>
      </c>
      <c r="H45" s="926" t="s">
        <v>938</v>
      </c>
    </row>
    <row r="46" spans="1:13">
      <c r="A46" s="430" t="s">
        <v>532</v>
      </c>
      <c r="B46" s="945" t="s">
        <v>939</v>
      </c>
      <c r="C46" s="485">
        <v>258166</v>
      </c>
      <c r="D46" s="485">
        <v>0</v>
      </c>
      <c r="E46" s="485">
        <v>0</v>
      </c>
      <c r="F46" s="485">
        <v>258166</v>
      </c>
      <c r="G46" s="485">
        <v>0</v>
      </c>
      <c r="H46" s="926" t="s">
        <v>940</v>
      </c>
    </row>
    <row r="47" spans="1:13">
      <c r="A47" s="430" t="s">
        <v>533</v>
      </c>
      <c r="B47" s="945" t="s">
        <v>1243</v>
      </c>
      <c r="C47" s="485">
        <v>0</v>
      </c>
      <c r="D47" s="485">
        <v>0</v>
      </c>
      <c r="E47" s="485">
        <v>0</v>
      </c>
      <c r="F47" s="485">
        <v>0</v>
      </c>
      <c r="G47" s="485">
        <v>0</v>
      </c>
      <c r="H47" s="926" t="s">
        <v>1244</v>
      </c>
    </row>
    <row r="48" spans="1:13">
      <c r="A48" s="430" t="s">
        <v>534</v>
      </c>
      <c r="B48" s="945" t="s">
        <v>1245</v>
      </c>
      <c r="C48" s="485">
        <v>19225596</v>
      </c>
      <c r="D48" s="485">
        <v>0</v>
      </c>
      <c r="E48" s="485">
        <v>0</v>
      </c>
      <c r="F48" s="485">
        <v>19225596</v>
      </c>
      <c r="G48" s="485">
        <v>0</v>
      </c>
      <c r="H48" s="926" t="s">
        <v>1242</v>
      </c>
      <c r="M48" s="498"/>
    </row>
    <row r="49" spans="1:8" ht="30">
      <c r="A49" s="430" t="s">
        <v>535</v>
      </c>
      <c r="B49" s="945" t="s">
        <v>911</v>
      </c>
      <c r="C49" s="485">
        <v>0</v>
      </c>
      <c r="D49" s="485">
        <v>0</v>
      </c>
      <c r="E49" s="485">
        <v>0</v>
      </c>
      <c r="F49" s="485">
        <v>0</v>
      </c>
      <c r="G49" s="485">
        <v>0</v>
      </c>
      <c r="H49" s="926" t="s">
        <v>941</v>
      </c>
    </row>
    <row r="50" spans="1:8">
      <c r="A50" s="430" t="s">
        <v>536</v>
      </c>
      <c r="B50" s="945" t="s">
        <v>893</v>
      </c>
      <c r="C50" s="485">
        <v>0</v>
      </c>
      <c r="D50" s="485">
        <v>0</v>
      </c>
      <c r="E50" s="485">
        <v>0</v>
      </c>
      <c r="F50" s="485">
        <v>0</v>
      </c>
      <c r="G50" s="485">
        <v>0</v>
      </c>
      <c r="H50" s="926" t="s">
        <v>878</v>
      </c>
    </row>
    <row r="51" spans="1:8" ht="30">
      <c r="A51" s="430" t="s">
        <v>537</v>
      </c>
      <c r="B51" s="945" t="s">
        <v>912</v>
      </c>
      <c r="C51" s="485">
        <v>71516180</v>
      </c>
      <c r="D51" s="485">
        <v>0</v>
      </c>
      <c r="E51" s="485">
        <v>0</v>
      </c>
      <c r="F51" s="485">
        <v>0</v>
      </c>
      <c r="G51" s="485">
        <v>71516180</v>
      </c>
      <c r="H51" s="926" t="s">
        <v>942</v>
      </c>
    </row>
    <row r="52" spans="1:8" ht="30">
      <c r="A52" s="430" t="s">
        <v>538</v>
      </c>
      <c r="B52" s="945" t="s">
        <v>894</v>
      </c>
      <c r="C52" s="485">
        <v>0</v>
      </c>
      <c r="D52" s="485">
        <v>0</v>
      </c>
      <c r="E52" s="485">
        <v>0</v>
      </c>
      <c r="F52" s="485">
        <v>0</v>
      </c>
      <c r="G52" s="485">
        <v>0</v>
      </c>
      <c r="H52" s="926" t="s">
        <v>943</v>
      </c>
    </row>
    <row r="53" spans="1:8">
      <c r="A53" s="430" t="s">
        <v>539</v>
      </c>
      <c r="B53" s="945" t="s">
        <v>895</v>
      </c>
      <c r="C53" s="485">
        <v>2180599</v>
      </c>
      <c r="D53" s="485">
        <v>2180599</v>
      </c>
      <c r="E53" s="485">
        <v>0</v>
      </c>
      <c r="F53" s="485">
        <v>0</v>
      </c>
      <c r="G53" s="485">
        <v>0</v>
      </c>
      <c r="H53" s="486" t="s">
        <v>944</v>
      </c>
    </row>
    <row r="54" spans="1:8">
      <c r="A54" s="430" t="s">
        <v>540</v>
      </c>
      <c r="B54" s="945" t="s">
        <v>896</v>
      </c>
      <c r="C54" s="485">
        <v>0</v>
      </c>
      <c r="D54" s="485">
        <v>0</v>
      </c>
      <c r="E54" s="485">
        <v>0</v>
      </c>
      <c r="F54" s="485">
        <v>0</v>
      </c>
      <c r="G54" s="485">
        <v>0</v>
      </c>
      <c r="H54" s="486" t="s">
        <v>944</v>
      </c>
    </row>
    <row r="55" spans="1:8">
      <c r="A55" s="430" t="s">
        <v>541</v>
      </c>
      <c r="B55" s="945" t="s">
        <v>897</v>
      </c>
      <c r="C55" s="485">
        <v>0</v>
      </c>
      <c r="D55" s="485">
        <v>0</v>
      </c>
      <c r="E55" s="485">
        <v>0</v>
      </c>
      <c r="F55" s="485">
        <v>0</v>
      </c>
      <c r="G55" s="485">
        <v>0</v>
      </c>
      <c r="H55" s="486" t="s">
        <v>945</v>
      </c>
    </row>
    <row r="56" spans="1:8">
      <c r="A56" s="430" t="s">
        <v>542</v>
      </c>
      <c r="B56" s="945" t="s">
        <v>898</v>
      </c>
      <c r="C56" s="485">
        <v>177323</v>
      </c>
      <c r="D56" s="485">
        <v>0</v>
      </c>
      <c r="E56" s="485">
        <v>0</v>
      </c>
      <c r="F56" s="485">
        <v>0</v>
      </c>
      <c r="G56" s="485">
        <v>177323</v>
      </c>
      <c r="H56" s="486" t="s">
        <v>946</v>
      </c>
    </row>
    <row r="57" spans="1:8" ht="15" customHeight="1">
      <c r="A57" s="430" t="s">
        <v>543</v>
      </c>
      <c r="B57" s="945" t="s">
        <v>913</v>
      </c>
      <c r="C57" s="485">
        <v>902265</v>
      </c>
      <c r="D57" s="485">
        <v>902265</v>
      </c>
      <c r="E57" s="485">
        <v>0</v>
      </c>
      <c r="F57" s="485">
        <v>0</v>
      </c>
      <c r="G57" s="485">
        <v>0</v>
      </c>
      <c r="H57" s="486" t="s">
        <v>947</v>
      </c>
    </row>
    <row r="58" spans="1:8" ht="15" customHeight="1">
      <c r="A58" s="430" t="s">
        <v>544</v>
      </c>
      <c r="B58" s="945" t="s">
        <v>899</v>
      </c>
      <c r="C58" s="485">
        <v>2636769</v>
      </c>
      <c r="D58" s="485">
        <v>2636769</v>
      </c>
      <c r="E58" s="485">
        <v>0</v>
      </c>
      <c r="F58" s="485">
        <v>0</v>
      </c>
      <c r="G58" s="485">
        <v>0</v>
      </c>
      <c r="H58" s="486" t="s">
        <v>878</v>
      </c>
    </row>
    <row r="59" spans="1:8" ht="15" customHeight="1">
      <c r="A59" s="430" t="s">
        <v>545</v>
      </c>
      <c r="B59" s="945" t="s">
        <v>900</v>
      </c>
      <c r="C59" s="485">
        <v>8151016</v>
      </c>
      <c r="D59" s="485">
        <v>0</v>
      </c>
      <c r="E59" s="485">
        <v>0</v>
      </c>
      <c r="F59" s="485">
        <v>0</v>
      </c>
      <c r="G59" s="485">
        <v>8151016</v>
      </c>
      <c r="H59" s="486" t="s">
        <v>948</v>
      </c>
    </row>
    <row r="60" spans="1:8" ht="15" customHeight="1">
      <c r="A60" s="430" t="s">
        <v>546</v>
      </c>
      <c r="B60" s="485"/>
      <c r="C60" s="485"/>
      <c r="D60" s="485"/>
      <c r="E60" s="485"/>
      <c r="F60" s="485"/>
      <c r="G60" s="524"/>
      <c r="H60" s="486"/>
    </row>
    <row r="61" spans="1:8" ht="15" customHeight="1">
      <c r="A61" s="430" t="s">
        <v>547</v>
      </c>
      <c r="B61" s="485"/>
      <c r="C61" s="485"/>
      <c r="D61" s="485"/>
      <c r="E61" s="485"/>
      <c r="F61" s="485"/>
      <c r="G61" s="485"/>
      <c r="H61" s="486"/>
    </row>
    <row r="62" spans="1:8" ht="15" hidden="1" customHeight="1">
      <c r="A62" s="430" t="s">
        <v>548</v>
      </c>
      <c r="B62" s="485"/>
      <c r="C62" s="485"/>
      <c r="D62" s="485"/>
      <c r="E62" s="485"/>
      <c r="F62" s="485"/>
      <c r="G62" s="524"/>
      <c r="H62" s="486"/>
    </row>
    <row r="63" spans="1:8" ht="15" hidden="1" customHeight="1">
      <c r="A63" s="430" t="s">
        <v>549</v>
      </c>
      <c r="B63" s="485"/>
      <c r="C63" s="485"/>
      <c r="D63" s="485"/>
      <c r="E63" s="485"/>
      <c r="F63" s="485"/>
      <c r="G63" s="524"/>
      <c r="H63" s="486"/>
    </row>
    <row r="64" spans="1:8" ht="15" hidden="1" customHeight="1">
      <c r="A64" s="430" t="s">
        <v>550</v>
      </c>
      <c r="B64" s="485"/>
      <c r="C64" s="485"/>
      <c r="D64" s="485"/>
      <c r="E64" s="485"/>
      <c r="F64" s="485"/>
      <c r="G64" s="524"/>
      <c r="H64" s="486"/>
    </row>
    <row r="65" spans="1:10" ht="15" hidden="1" customHeight="1">
      <c r="A65" s="430" t="s">
        <v>551</v>
      </c>
      <c r="B65" s="485"/>
      <c r="C65" s="485"/>
      <c r="D65" s="485"/>
      <c r="E65" s="485"/>
      <c r="F65" s="525"/>
      <c r="G65" s="485"/>
      <c r="H65" s="526"/>
    </row>
    <row r="66" spans="1:10" ht="15" hidden="1" customHeight="1">
      <c r="A66" s="430" t="s">
        <v>552</v>
      </c>
      <c r="B66" s="485"/>
      <c r="C66" s="485"/>
      <c r="D66" s="485"/>
      <c r="E66" s="485"/>
      <c r="F66" s="485"/>
      <c r="G66" s="485"/>
      <c r="H66" s="527"/>
    </row>
    <row r="67" spans="1:10" ht="15" hidden="1" customHeight="1">
      <c r="A67" s="430" t="s">
        <v>553</v>
      </c>
      <c r="B67" s="485"/>
      <c r="C67" s="485"/>
      <c r="D67" s="485"/>
      <c r="E67" s="485"/>
      <c r="F67" s="485"/>
      <c r="G67" s="485"/>
      <c r="H67" s="526"/>
    </row>
    <row r="68" spans="1:10" ht="15" hidden="1" customHeight="1">
      <c r="A68" s="430" t="s">
        <v>554</v>
      </c>
      <c r="B68" s="485"/>
      <c r="C68" s="485"/>
      <c r="D68" s="485"/>
      <c r="E68" s="485"/>
      <c r="F68" s="485"/>
      <c r="G68" s="485"/>
      <c r="H68" s="486"/>
    </row>
    <row r="69" spans="1:10" ht="15" hidden="1" customHeight="1">
      <c r="A69" s="430" t="s">
        <v>555</v>
      </c>
      <c r="B69" s="485"/>
      <c r="C69" s="485"/>
      <c r="D69" s="485"/>
      <c r="E69" s="485"/>
      <c r="F69" s="485"/>
      <c r="G69" s="485"/>
      <c r="H69" s="486"/>
    </row>
    <row r="70" spans="1:10" ht="15" hidden="1" customHeight="1">
      <c r="A70" s="430" t="s">
        <v>556</v>
      </c>
      <c r="B70" s="528"/>
      <c r="C70" s="485"/>
      <c r="D70" s="485"/>
      <c r="E70" s="485"/>
      <c r="F70" s="485"/>
      <c r="G70" s="485"/>
      <c r="H70" s="526"/>
    </row>
    <row r="71" spans="1:10" ht="15" hidden="1" customHeight="1">
      <c r="A71" s="430" t="s">
        <v>557</v>
      </c>
      <c r="B71" s="529"/>
      <c r="C71" s="485">
        <v>0</v>
      </c>
      <c r="D71" s="485">
        <v>0</v>
      </c>
      <c r="E71" s="485"/>
      <c r="F71" s="485"/>
      <c r="G71" s="485"/>
      <c r="H71" s="526"/>
    </row>
    <row r="72" spans="1:10">
      <c r="A72" s="430" t="s">
        <v>296</v>
      </c>
      <c r="B72" s="946"/>
      <c r="C72" s="485">
        <v>0</v>
      </c>
      <c r="D72" s="485"/>
      <c r="E72" s="485"/>
      <c r="F72" s="485"/>
      <c r="G72" s="485"/>
      <c r="H72" s="526"/>
    </row>
    <row r="73" spans="1:10">
      <c r="A73" s="430">
        <v>2</v>
      </c>
      <c r="B73" s="499" t="s">
        <v>1054</v>
      </c>
      <c r="C73" s="500">
        <f>SUM(C24:C72)</f>
        <v>146414186.29210824</v>
      </c>
      <c r="D73" s="500">
        <f>SUM(D24:D72)</f>
        <v>32774108</v>
      </c>
      <c r="E73" s="500">
        <f>SUM(E24:E72)</f>
        <v>0</v>
      </c>
      <c r="F73" s="500">
        <f>SUM(F24:F72)</f>
        <v>19553987.29210823</v>
      </c>
      <c r="G73" s="500">
        <f>SUM(G24:G72)</f>
        <v>94086091</v>
      </c>
      <c r="H73" s="501"/>
      <c r="J73" s="434"/>
    </row>
    <row r="74" spans="1:10">
      <c r="A74" s="430">
        <v>3</v>
      </c>
      <c r="B74" s="499" t="s">
        <v>563</v>
      </c>
      <c r="C74" s="485">
        <v>-23320597.653072</v>
      </c>
      <c r="D74" s="485">
        <v>-1292742.80064</v>
      </c>
      <c r="E74" s="485">
        <v>0</v>
      </c>
      <c r="F74" s="485">
        <v>294794.507568</v>
      </c>
      <c r="G74" s="485">
        <v>-22322649.359999999</v>
      </c>
      <c r="H74" s="526"/>
    </row>
    <row r="75" spans="1:10">
      <c r="A75" s="430">
        <v>4</v>
      </c>
      <c r="B75" s="499" t="s">
        <v>564</v>
      </c>
      <c r="C75" s="485"/>
      <c r="D75" s="485"/>
      <c r="E75" s="485"/>
      <c r="F75" s="485"/>
      <c r="G75" s="485"/>
      <c r="H75" s="526"/>
    </row>
    <row r="76" spans="1:10">
      <c r="A76" s="411">
        <v>5</v>
      </c>
      <c r="B76" s="499" t="s">
        <v>1173</v>
      </c>
      <c r="C76" s="500">
        <f>+C73-C74-C75</f>
        <v>169734783.94518024</v>
      </c>
      <c r="D76" s="500">
        <f t="shared" ref="D76:G76" si="0">+D73-D74-D75</f>
        <v>34066850.800640002</v>
      </c>
      <c r="E76" s="500">
        <f t="shared" si="0"/>
        <v>0</v>
      </c>
      <c r="F76" s="500">
        <f t="shared" si="0"/>
        <v>19259192.784540229</v>
      </c>
      <c r="G76" s="500">
        <f t="shared" si="0"/>
        <v>116408740.36</v>
      </c>
      <c r="H76" s="501"/>
    </row>
    <row r="77" spans="1:10">
      <c r="B77" s="435"/>
      <c r="C77" s="436"/>
      <c r="D77" s="415"/>
      <c r="E77" s="415"/>
      <c r="F77" s="415"/>
      <c r="G77" s="437"/>
      <c r="H77" s="502"/>
    </row>
    <row r="78" spans="1:10">
      <c r="A78" s="430">
        <v>6</v>
      </c>
      <c r="B78" s="439" t="s">
        <v>565</v>
      </c>
      <c r="C78" s="440"/>
      <c r="D78" s="441"/>
      <c r="E78" s="441"/>
      <c r="F78" s="441"/>
      <c r="G78" s="442"/>
      <c r="H78" s="503"/>
    </row>
    <row r="79" spans="1:10">
      <c r="A79" s="430">
        <v>7</v>
      </c>
      <c r="B79" s="444" t="s">
        <v>566</v>
      </c>
      <c r="C79" s="415"/>
      <c r="D79" s="415"/>
      <c r="E79" s="415"/>
      <c r="F79" s="415"/>
      <c r="G79" s="415"/>
      <c r="H79" s="504"/>
    </row>
    <row r="80" spans="1:10">
      <c r="A80" s="430">
        <v>8</v>
      </c>
      <c r="B80" s="444" t="s">
        <v>567</v>
      </c>
      <c r="C80" s="446"/>
      <c r="D80" s="415"/>
      <c r="E80" s="415"/>
      <c r="F80" s="415"/>
      <c r="G80" s="437"/>
      <c r="H80" s="505"/>
    </row>
    <row r="81" spans="1:8">
      <c r="A81" s="430">
        <v>9</v>
      </c>
      <c r="B81" s="444" t="s">
        <v>568</v>
      </c>
      <c r="C81" s="446"/>
      <c r="D81" s="415"/>
      <c r="E81" s="415"/>
      <c r="F81" s="415"/>
      <c r="G81" s="437"/>
      <c r="H81" s="505"/>
    </row>
    <row r="82" spans="1:8">
      <c r="A82" s="430">
        <v>10</v>
      </c>
      <c r="B82" s="444" t="s">
        <v>569</v>
      </c>
      <c r="C82" s="446"/>
      <c r="D82" s="415"/>
      <c r="E82" s="415"/>
      <c r="F82" s="415"/>
      <c r="G82" s="437"/>
      <c r="H82" s="505"/>
    </row>
    <row r="83" spans="1:8">
      <c r="A83" s="430">
        <v>11</v>
      </c>
      <c r="B83" s="448" t="s">
        <v>570</v>
      </c>
      <c r="C83" s="415"/>
      <c r="D83" s="415"/>
      <c r="E83" s="415"/>
      <c r="F83" s="415"/>
      <c r="G83" s="415"/>
      <c r="H83" s="504"/>
    </row>
    <row r="84" spans="1:8">
      <c r="A84" s="430">
        <v>12</v>
      </c>
      <c r="B84" s="449" t="s">
        <v>571</v>
      </c>
      <c r="C84" s="415"/>
      <c r="D84" s="415"/>
      <c r="E84" s="415"/>
      <c r="F84" s="415"/>
      <c r="G84" s="415"/>
      <c r="H84" s="504"/>
    </row>
    <row r="85" spans="1:8">
      <c r="B85" s="450"/>
      <c r="C85" s="451"/>
      <c r="D85" s="452"/>
      <c r="E85" s="452"/>
      <c r="F85" s="452"/>
      <c r="G85" s="453"/>
      <c r="H85" s="506"/>
    </row>
    <row r="86" spans="1:8">
      <c r="B86" s="1057" t="str">
        <f>'4A - ADIT Summary'!$G$65</f>
        <v>PECO Energy Company</v>
      </c>
      <c r="C86" s="1058"/>
      <c r="D86" s="1058"/>
      <c r="E86" s="1058"/>
      <c r="F86" s="1058"/>
      <c r="G86" s="1058"/>
      <c r="H86" s="1058"/>
    </row>
    <row r="87" spans="1:8" ht="15.75">
      <c r="B87" s="413" t="s">
        <v>617</v>
      </c>
      <c r="C87" s="413"/>
      <c r="D87" s="413"/>
      <c r="E87" s="413"/>
      <c r="F87" s="413" t="s">
        <v>2</v>
      </c>
      <c r="G87" s="413"/>
      <c r="H87" s="507"/>
    </row>
    <row r="88" spans="1:8">
      <c r="B88" s="413"/>
      <c r="C88" s="456"/>
      <c r="D88" s="457"/>
      <c r="E88" s="457"/>
      <c r="F88" s="457"/>
      <c r="G88" s="457"/>
      <c r="H88" s="508"/>
    </row>
    <row r="89" spans="1:8">
      <c r="B89" s="458"/>
      <c r="C89" s="456"/>
      <c r="D89" s="457"/>
      <c r="E89" s="457"/>
      <c r="F89" s="457"/>
      <c r="G89" s="457"/>
      <c r="H89" s="487" t="s">
        <v>617</v>
      </c>
    </row>
    <row r="90" spans="1:8">
      <c r="B90" s="458"/>
      <c r="C90" s="456"/>
      <c r="D90" s="457"/>
      <c r="E90" s="457"/>
      <c r="F90" s="457"/>
      <c r="G90" s="457"/>
      <c r="H90" s="487" t="s">
        <v>572</v>
      </c>
    </row>
    <row r="91" spans="1:8">
      <c r="B91" s="458"/>
      <c r="C91" s="456"/>
      <c r="D91" s="457"/>
      <c r="E91" s="457"/>
      <c r="F91" s="457"/>
      <c r="G91" s="457"/>
      <c r="H91" s="488"/>
    </row>
    <row r="92" spans="1:8">
      <c r="B92" s="413"/>
      <c r="C92" s="415"/>
      <c r="D92" s="415"/>
      <c r="E92" s="415"/>
      <c r="F92" s="415"/>
      <c r="G92" s="415"/>
      <c r="H92" s="509"/>
    </row>
    <row r="93" spans="1:8">
      <c r="B93" s="413"/>
      <c r="C93" s="415"/>
      <c r="D93" s="415"/>
      <c r="E93" s="415"/>
      <c r="F93" s="415"/>
      <c r="G93" s="415"/>
      <c r="H93" s="509"/>
    </row>
    <row r="94" spans="1:8">
      <c r="B94" s="458" t="s">
        <v>58</v>
      </c>
      <c r="C94" s="419" t="s">
        <v>59</v>
      </c>
      <c r="D94" s="456" t="s">
        <v>60</v>
      </c>
      <c r="E94" s="456" t="s">
        <v>61</v>
      </c>
      <c r="F94" s="456" t="s">
        <v>62</v>
      </c>
      <c r="G94" s="456" t="s">
        <v>63</v>
      </c>
      <c r="H94" s="510" t="s">
        <v>64</v>
      </c>
    </row>
    <row r="95" spans="1:8">
      <c r="B95" s="421" t="s">
        <v>1465</v>
      </c>
      <c r="C95" s="420" t="s">
        <v>13</v>
      </c>
      <c r="D95" s="420" t="s">
        <v>504</v>
      </c>
      <c r="E95" s="414" t="s">
        <v>492</v>
      </c>
      <c r="F95" s="414"/>
      <c r="G95" s="414"/>
      <c r="H95" s="488"/>
    </row>
    <row r="96" spans="1:8">
      <c r="B96" s="435"/>
      <c r="C96" s="420"/>
      <c r="D96" s="420" t="s">
        <v>505</v>
      </c>
      <c r="E96" s="414" t="s">
        <v>17</v>
      </c>
      <c r="F96" s="414" t="s">
        <v>506</v>
      </c>
      <c r="G96" s="414" t="s">
        <v>459</v>
      </c>
      <c r="H96" s="488"/>
    </row>
    <row r="97" spans="1:8">
      <c r="B97" s="460"/>
      <c r="C97" s="461"/>
      <c r="D97" s="420" t="s">
        <v>467</v>
      </c>
      <c r="E97" s="414" t="s">
        <v>467</v>
      </c>
      <c r="F97" s="414" t="s">
        <v>467</v>
      </c>
      <c r="G97" s="414" t="s">
        <v>467</v>
      </c>
      <c r="H97" s="509" t="s">
        <v>507</v>
      </c>
    </row>
    <row r="98" spans="1:8">
      <c r="B98" s="413"/>
      <c r="C98" s="462"/>
      <c r="D98" s="415"/>
      <c r="E98" s="415"/>
      <c r="F98" s="415"/>
      <c r="G98" s="415"/>
      <c r="H98" s="488"/>
    </row>
    <row r="99" spans="1:8">
      <c r="A99" s="411" t="s">
        <v>573</v>
      </c>
      <c r="B99" s="932" t="s">
        <v>1111</v>
      </c>
      <c r="C99" s="933">
        <v>0</v>
      </c>
      <c r="D99" s="933">
        <v>0</v>
      </c>
      <c r="E99" s="933">
        <v>0</v>
      </c>
      <c r="F99" s="933">
        <v>0</v>
      </c>
      <c r="G99" s="933">
        <v>0</v>
      </c>
      <c r="H99" s="934"/>
    </row>
    <row r="100" spans="1:8">
      <c r="A100" s="411" t="s">
        <v>574</v>
      </c>
      <c r="B100" s="932" t="s">
        <v>702</v>
      </c>
      <c r="C100" s="933">
        <v>-29107226</v>
      </c>
      <c r="D100" s="933">
        <v>0</v>
      </c>
      <c r="E100" s="933">
        <v>0</v>
      </c>
      <c r="F100" s="933">
        <v>0</v>
      </c>
      <c r="G100" s="933">
        <v>-29107226</v>
      </c>
      <c r="H100" s="934" t="s">
        <v>949</v>
      </c>
    </row>
    <row r="101" spans="1:8">
      <c r="A101" s="411" t="s">
        <v>575</v>
      </c>
      <c r="B101" s="932" t="s">
        <v>778</v>
      </c>
      <c r="C101" s="933">
        <v>-1277494888</v>
      </c>
      <c r="D101" s="933">
        <v>-1277494888</v>
      </c>
      <c r="E101" s="933">
        <v>0</v>
      </c>
      <c r="F101" s="933">
        <v>0</v>
      </c>
      <c r="G101" s="933">
        <v>0</v>
      </c>
      <c r="H101" s="934" t="s">
        <v>950</v>
      </c>
    </row>
    <row r="102" spans="1:8">
      <c r="A102" s="430" t="s">
        <v>576</v>
      </c>
      <c r="B102" s="932" t="s">
        <v>902</v>
      </c>
      <c r="C102" s="933">
        <v>-3136156</v>
      </c>
      <c r="D102" s="933">
        <v>0</v>
      </c>
      <c r="E102" s="933">
        <v>0</v>
      </c>
      <c r="F102" s="933">
        <v>0</v>
      </c>
      <c r="G102" s="933">
        <v>-3136156</v>
      </c>
      <c r="H102" s="934" t="s">
        <v>949</v>
      </c>
    </row>
    <row r="103" spans="1:8">
      <c r="A103" s="430" t="s">
        <v>577</v>
      </c>
      <c r="B103" s="932" t="s">
        <v>17</v>
      </c>
      <c r="C103" s="933">
        <v>-235859579</v>
      </c>
      <c r="D103" s="933">
        <v>0</v>
      </c>
      <c r="E103" s="933">
        <v>-235859579</v>
      </c>
      <c r="F103" s="933">
        <v>0</v>
      </c>
      <c r="G103" s="933">
        <v>0</v>
      </c>
      <c r="H103" s="934" t="s">
        <v>901</v>
      </c>
    </row>
    <row r="104" spans="1:8">
      <c r="A104" s="430" t="s">
        <v>578</v>
      </c>
      <c r="B104" s="933"/>
      <c r="C104" s="933"/>
      <c r="D104" s="927"/>
      <c r="E104" s="927"/>
      <c r="F104" s="927"/>
      <c r="G104" s="927"/>
      <c r="H104" s="935"/>
    </row>
    <row r="105" spans="1:8">
      <c r="A105" s="430" t="s">
        <v>579</v>
      </c>
      <c r="B105" s="933"/>
      <c r="C105" s="933"/>
      <c r="D105" s="927"/>
      <c r="E105" s="927"/>
      <c r="F105" s="927"/>
      <c r="G105" s="927"/>
      <c r="H105" s="935"/>
    </row>
    <row r="106" spans="1:8">
      <c r="A106" s="430" t="s">
        <v>580</v>
      </c>
      <c r="B106" s="933"/>
      <c r="C106" s="933"/>
      <c r="D106" s="927"/>
      <c r="E106" s="927"/>
      <c r="F106" s="927"/>
      <c r="G106" s="927"/>
      <c r="H106" s="935"/>
    </row>
    <row r="107" spans="1:8">
      <c r="A107" s="430" t="s">
        <v>296</v>
      </c>
      <c r="B107" s="933"/>
      <c r="C107" s="933"/>
      <c r="D107" s="927"/>
      <c r="E107" s="927"/>
      <c r="F107" s="927"/>
      <c r="G107" s="927"/>
      <c r="H107" s="935"/>
    </row>
    <row r="108" spans="1:8">
      <c r="A108" s="430">
        <v>14</v>
      </c>
      <c r="B108" s="431" t="s">
        <v>1056</v>
      </c>
      <c r="C108" s="432">
        <f>SUM(C99:C107)</f>
        <v>-1545597849</v>
      </c>
      <c r="D108" s="432">
        <f>SUM(D99:D107)</f>
        <v>-1277494888</v>
      </c>
      <c r="E108" s="432">
        <f>SUM(E99:E107)</f>
        <v>-235859579</v>
      </c>
      <c r="F108" s="432">
        <f>SUM(F99:F107)</f>
        <v>0</v>
      </c>
      <c r="G108" s="432">
        <f>SUM(G99:G107)</f>
        <v>-32243382</v>
      </c>
      <c r="H108" s="511"/>
    </row>
    <row r="109" spans="1:8">
      <c r="A109" s="430">
        <v>15</v>
      </c>
      <c r="B109" s="431" t="s">
        <v>563</v>
      </c>
      <c r="C109" s="937">
        <v>-284353657.29305041</v>
      </c>
      <c r="D109" s="937">
        <v>-247839335</v>
      </c>
      <c r="E109" s="937">
        <v>-35469436.116370887</v>
      </c>
      <c r="F109" s="937">
        <v>0</v>
      </c>
      <c r="G109" s="937">
        <v>-1044886.1766794622</v>
      </c>
      <c r="H109" s="935"/>
    </row>
    <row r="110" spans="1:8">
      <c r="A110" s="430">
        <v>16</v>
      </c>
      <c r="B110" s="431" t="s">
        <v>564</v>
      </c>
      <c r="C110" s="937"/>
      <c r="D110" s="937"/>
      <c r="E110" s="937"/>
      <c r="F110" s="937"/>
      <c r="G110" s="937"/>
      <c r="H110" s="947"/>
    </row>
    <row r="111" spans="1:8">
      <c r="A111" s="430">
        <v>17</v>
      </c>
      <c r="B111" s="431" t="s">
        <v>1154</v>
      </c>
      <c r="C111" s="512">
        <f>+C108-C109-C110</f>
        <v>-1261244191.7069497</v>
      </c>
      <c r="D111" s="512">
        <f>+D108-D109-D110</f>
        <v>-1029655553</v>
      </c>
      <c r="E111" s="512">
        <f>+E108-E109-E110</f>
        <v>-200390142.88362911</v>
      </c>
      <c r="F111" s="512">
        <f>+F108-F109-F110</f>
        <v>0</v>
      </c>
      <c r="G111" s="512">
        <f>+G108-G109-G110</f>
        <v>-31198495.823320538</v>
      </c>
      <c r="H111" s="513"/>
    </row>
    <row r="112" spans="1:8">
      <c r="B112" s="435"/>
      <c r="C112" s="464"/>
      <c r="D112" s="464"/>
      <c r="E112" s="464"/>
      <c r="F112" s="464"/>
      <c r="G112" s="415"/>
      <c r="H112" s="514"/>
    </row>
    <row r="113" spans="1:8" ht="15.75" thickBot="1">
      <c r="B113" s="435"/>
      <c r="C113" s="436"/>
      <c r="D113" s="415"/>
      <c r="E113" s="415"/>
      <c r="F113" s="415"/>
      <c r="G113" s="437"/>
      <c r="H113" s="515"/>
    </row>
    <row r="114" spans="1:8">
      <c r="A114" s="430">
        <v>18</v>
      </c>
      <c r="B114" s="466" t="s">
        <v>581</v>
      </c>
      <c r="C114" s="467"/>
      <c r="D114" s="468"/>
      <c r="E114" s="468"/>
      <c r="F114" s="468"/>
      <c r="G114" s="469"/>
      <c r="H114" s="516"/>
    </row>
    <row r="115" spans="1:8">
      <c r="A115" s="430">
        <v>19</v>
      </c>
      <c r="B115" s="444" t="s">
        <v>566</v>
      </c>
      <c r="C115" s="471"/>
      <c r="D115" s="457"/>
      <c r="E115" s="457"/>
      <c r="F115" s="457"/>
      <c r="G115" s="457"/>
      <c r="H115" s="476"/>
    </row>
    <row r="116" spans="1:8">
      <c r="A116" s="430">
        <v>20</v>
      </c>
      <c r="B116" s="444" t="s">
        <v>567</v>
      </c>
      <c r="C116" s="446"/>
      <c r="D116" s="415"/>
      <c r="E116" s="415"/>
      <c r="F116" s="415"/>
      <c r="G116" s="437"/>
      <c r="H116" s="517"/>
    </row>
    <row r="117" spans="1:8">
      <c r="A117" s="430">
        <v>21</v>
      </c>
      <c r="B117" s="444" t="s">
        <v>568</v>
      </c>
      <c r="C117" s="446"/>
      <c r="D117" s="415"/>
      <c r="E117" s="415"/>
      <c r="F117" s="415"/>
      <c r="G117" s="437"/>
      <c r="H117" s="517"/>
    </row>
    <row r="118" spans="1:8">
      <c r="A118" s="430">
        <v>22</v>
      </c>
      <c r="B118" s="444" t="s">
        <v>569</v>
      </c>
      <c r="C118" s="446"/>
      <c r="D118" s="415"/>
      <c r="E118" s="415"/>
      <c r="F118" s="415"/>
      <c r="G118" s="437"/>
      <c r="H118" s="517"/>
    </row>
    <row r="119" spans="1:8">
      <c r="A119" s="430">
        <v>23</v>
      </c>
      <c r="B119" s="448" t="s">
        <v>570</v>
      </c>
      <c r="C119" s="474"/>
      <c r="D119" s="475"/>
      <c r="E119" s="475"/>
      <c r="F119" s="475"/>
      <c r="G119" s="475"/>
      <c r="H119" s="476"/>
    </row>
    <row r="120" spans="1:8">
      <c r="A120" s="430">
        <v>24</v>
      </c>
      <c r="B120" s="449" t="s">
        <v>571</v>
      </c>
      <c r="C120" s="475"/>
      <c r="D120" s="475"/>
      <c r="E120" s="475"/>
      <c r="F120" s="475"/>
      <c r="G120" s="475"/>
      <c r="H120" s="476"/>
    </row>
    <row r="121" spans="1:8" ht="15.75" thickBot="1">
      <c r="B121" s="518"/>
      <c r="C121" s="477"/>
      <c r="D121" s="478"/>
      <c r="E121" s="478"/>
      <c r="F121" s="478"/>
      <c r="G121" s="479"/>
      <c r="H121" s="519"/>
    </row>
    <row r="122" spans="1:8">
      <c r="B122" s="1057" t="str">
        <f>'4A - ADIT Summary'!$G$65</f>
        <v>PECO Energy Company</v>
      </c>
      <c r="C122" s="1058"/>
      <c r="D122" s="1058"/>
      <c r="E122" s="1058"/>
      <c r="F122" s="1058"/>
      <c r="G122" s="1058"/>
      <c r="H122" s="1058"/>
    </row>
    <row r="123" spans="1:8" ht="15.75">
      <c r="B123" s="413" t="s">
        <v>617</v>
      </c>
      <c r="C123" s="413"/>
      <c r="D123" s="413"/>
      <c r="E123" s="413"/>
      <c r="F123" s="413"/>
      <c r="G123" s="413"/>
      <c r="H123" s="507"/>
    </row>
    <row r="124" spans="1:8">
      <c r="B124" s="413"/>
      <c r="C124" s="520"/>
      <c r="D124" s="520"/>
      <c r="E124" s="520"/>
      <c r="F124" s="520"/>
      <c r="G124" s="520"/>
      <c r="H124" s="508"/>
    </row>
    <row r="125" spans="1:8">
      <c r="B125" s="520"/>
      <c r="C125" s="520"/>
      <c r="D125" s="520"/>
      <c r="E125" s="520"/>
      <c r="F125" s="520"/>
      <c r="G125" s="520"/>
      <c r="H125" s="487" t="s">
        <v>617</v>
      </c>
    </row>
    <row r="126" spans="1:8">
      <c r="B126" s="520"/>
      <c r="C126" s="520"/>
      <c r="D126" s="520"/>
      <c r="E126" s="520"/>
      <c r="F126" s="520"/>
      <c r="G126" s="520"/>
      <c r="H126" s="487" t="s">
        <v>582</v>
      </c>
    </row>
    <row r="127" spans="1:8">
      <c r="B127" s="435"/>
      <c r="C127" s="436"/>
      <c r="D127" s="415"/>
      <c r="E127" s="415"/>
      <c r="F127" s="415"/>
      <c r="G127" s="437"/>
      <c r="H127" s="515"/>
    </row>
    <row r="128" spans="1:8">
      <c r="B128" s="458" t="s">
        <v>58</v>
      </c>
      <c r="C128" s="419" t="s">
        <v>59</v>
      </c>
      <c r="D128" s="456" t="s">
        <v>60</v>
      </c>
      <c r="E128" s="456" t="s">
        <v>61</v>
      </c>
      <c r="F128" s="456" t="s">
        <v>62</v>
      </c>
      <c r="G128" s="456" t="s">
        <v>63</v>
      </c>
      <c r="H128" s="510" t="s">
        <v>64</v>
      </c>
    </row>
    <row r="129" spans="1:12">
      <c r="B129" s="421" t="s">
        <v>1466</v>
      </c>
      <c r="C129" s="420" t="s">
        <v>13</v>
      </c>
      <c r="D129" s="420" t="s">
        <v>504</v>
      </c>
      <c r="E129" s="414" t="s">
        <v>492</v>
      </c>
      <c r="F129" s="414"/>
      <c r="G129" s="414"/>
      <c r="H129" s="488"/>
    </row>
    <row r="130" spans="1:12">
      <c r="B130" s="413"/>
      <c r="C130" s="420"/>
      <c r="D130" s="420" t="s">
        <v>505</v>
      </c>
      <c r="E130" s="414" t="s">
        <v>17</v>
      </c>
      <c r="F130" s="414" t="s">
        <v>506</v>
      </c>
      <c r="G130" s="414" t="s">
        <v>459</v>
      </c>
      <c r="H130" s="488"/>
    </row>
    <row r="131" spans="1:12">
      <c r="B131" s="460"/>
      <c r="C131" s="461"/>
      <c r="D131" s="420" t="s">
        <v>467</v>
      </c>
      <c r="E131" s="414" t="s">
        <v>467</v>
      </c>
      <c r="F131" s="414" t="s">
        <v>467</v>
      </c>
      <c r="G131" s="414" t="s">
        <v>467</v>
      </c>
      <c r="H131" s="509" t="s">
        <v>507</v>
      </c>
    </row>
    <row r="132" spans="1:12">
      <c r="B132" s="460"/>
      <c r="C132" s="461"/>
      <c r="D132" s="415"/>
      <c r="E132" s="415"/>
      <c r="F132" s="415"/>
      <c r="G132" s="415"/>
      <c r="H132" s="475"/>
    </row>
    <row r="133" spans="1:12">
      <c r="B133" s="460"/>
      <c r="C133" s="461"/>
      <c r="D133" s="415"/>
      <c r="E133" s="415"/>
      <c r="F133" s="415"/>
      <c r="G133" s="415"/>
      <c r="H133" s="488"/>
    </row>
    <row r="134" spans="1:12">
      <c r="A134" s="411" t="s">
        <v>583</v>
      </c>
      <c r="B134" s="948" t="s">
        <v>914</v>
      </c>
      <c r="C134" s="927">
        <v>0</v>
      </c>
      <c r="D134" s="927">
        <v>0</v>
      </c>
      <c r="E134" s="927">
        <v>0</v>
      </c>
      <c r="F134" s="927">
        <v>0</v>
      </c>
      <c r="G134" s="927">
        <v>0</v>
      </c>
      <c r="H134" s="934" t="s">
        <v>944</v>
      </c>
    </row>
    <row r="135" spans="1:12">
      <c r="A135" s="411" t="s">
        <v>584</v>
      </c>
      <c r="B135" s="948" t="s">
        <v>903</v>
      </c>
      <c r="C135" s="927">
        <v>-930652</v>
      </c>
      <c r="D135" s="927">
        <v>-930652</v>
      </c>
      <c r="E135" s="927">
        <v>0</v>
      </c>
      <c r="F135" s="927">
        <v>0</v>
      </c>
      <c r="G135" s="927">
        <v>0</v>
      </c>
      <c r="H135" s="934" t="s">
        <v>944</v>
      </c>
      <c r="L135" s="498"/>
    </row>
    <row r="136" spans="1:12">
      <c r="A136" s="411" t="s">
        <v>585</v>
      </c>
      <c r="B136" s="948" t="s">
        <v>915</v>
      </c>
      <c r="C136" s="927">
        <v>-269975</v>
      </c>
      <c r="D136" s="927">
        <v>0</v>
      </c>
      <c r="E136" s="927">
        <v>0</v>
      </c>
      <c r="F136" s="927">
        <v>-269975</v>
      </c>
      <c r="G136" s="927">
        <v>0</v>
      </c>
      <c r="H136" s="934" t="s">
        <v>951</v>
      </c>
      <c r="L136" s="498"/>
    </row>
    <row r="137" spans="1:12">
      <c r="A137" s="430" t="s">
        <v>586</v>
      </c>
      <c r="B137" s="948" t="s">
        <v>904</v>
      </c>
      <c r="C137" s="927">
        <v>0</v>
      </c>
      <c r="D137" s="927">
        <v>0</v>
      </c>
      <c r="E137" s="927">
        <v>0</v>
      </c>
      <c r="F137" s="927">
        <v>0</v>
      </c>
      <c r="G137" s="927">
        <v>0</v>
      </c>
      <c r="H137" s="934" t="s">
        <v>944</v>
      </c>
    </row>
    <row r="138" spans="1:12">
      <c r="A138" s="430" t="s">
        <v>587</v>
      </c>
      <c r="B138" s="948" t="s">
        <v>905</v>
      </c>
      <c r="C138" s="927">
        <v>0</v>
      </c>
      <c r="D138" s="927">
        <v>0</v>
      </c>
      <c r="E138" s="927">
        <v>0</v>
      </c>
      <c r="F138" s="927">
        <v>0</v>
      </c>
      <c r="G138" s="927">
        <v>0</v>
      </c>
      <c r="H138" s="934" t="s">
        <v>944</v>
      </c>
    </row>
    <row r="139" spans="1:12">
      <c r="A139" s="430" t="s">
        <v>588</v>
      </c>
      <c r="B139" s="948" t="s">
        <v>906</v>
      </c>
      <c r="C139" s="927">
        <v>-43613</v>
      </c>
      <c r="D139" s="927">
        <v>-43613</v>
      </c>
      <c r="E139" s="927">
        <v>0</v>
      </c>
      <c r="F139" s="927">
        <v>0</v>
      </c>
      <c r="G139" s="927">
        <v>0</v>
      </c>
      <c r="H139" s="934" t="s">
        <v>944</v>
      </c>
    </row>
    <row r="140" spans="1:12" ht="14.25" customHeight="1">
      <c r="A140" s="430" t="s">
        <v>589</v>
      </c>
      <c r="B140" s="948" t="s">
        <v>907</v>
      </c>
      <c r="C140" s="927">
        <v>-142257</v>
      </c>
      <c r="D140" s="927">
        <v>-142257</v>
      </c>
      <c r="E140" s="927">
        <v>0</v>
      </c>
      <c r="F140" s="927">
        <v>0</v>
      </c>
      <c r="G140" s="927">
        <v>0</v>
      </c>
      <c r="H140" s="934" t="s">
        <v>944</v>
      </c>
    </row>
    <row r="141" spans="1:12">
      <c r="A141" s="430" t="s">
        <v>590</v>
      </c>
      <c r="B141" s="948" t="s">
        <v>952</v>
      </c>
      <c r="C141" s="927">
        <v>-60560.730809999994</v>
      </c>
      <c r="D141" s="927">
        <v>-60560.730809999994</v>
      </c>
      <c r="E141" s="927">
        <v>0</v>
      </c>
      <c r="F141" s="927">
        <v>0</v>
      </c>
      <c r="G141" s="927">
        <v>0</v>
      </c>
      <c r="H141" s="934" t="s">
        <v>944</v>
      </c>
    </row>
    <row r="142" spans="1:12">
      <c r="A142" s="430" t="s">
        <v>591</v>
      </c>
      <c r="B142" s="948" t="s">
        <v>953</v>
      </c>
      <c r="C142" s="927">
        <v>-192532</v>
      </c>
      <c r="D142" s="927">
        <v>-192532</v>
      </c>
      <c r="E142" s="927">
        <v>0</v>
      </c>
      <c r="F142" s="927">
        <v>0</v>
      </c>
      <c r="G142" s="927">
        <v>0</v>
      </c>
      <c r="H142" s="934" t="s">
        <v>944</v>
      </c>
    </row>
    <row r="143" spans="1:12">
      <c r="A143" s="430" t="s">
        <v>592</v>
      </c>
      <c r="B143" s="948" t="s">
        <v>908</v>
      </c>
      <c r="C143" s="927">
        <v>-262244</v>
      </c>
      <c r="D143" s="927">
        <v>0</v>
      </c>
      <c r="E143" s="927">
        <v>0</v>
      </c>
      <c r="F143" s="927">
        <v>0</v>
      </c>
      <c r="G143" s="927">
        <v>-262244</v>
      </c>
      <c r="H143" s="938" t="s">
        <v>954</v>
      </c>
    </row>
    <row r="144" spans="1:12">
      <c r="A144" s="430" t="s">
        <v>593</v>
      </c>
      <c r="B144" s="948" t="s">
        <v>955</v>
      </c>
      <c r="C144" s="927">
        <v>0</v>
      </c>
      <c r="D144" s="927">
        <v>0</v>
      </c>
      <c r="E144" s="927">
        <v>0</v>
      </c>
      <c r="F144" s="927">
        <v>0</v>
      </c>
      <c r="G144" s="927">
        <v>0</v>
      </c>
      <c r="H144" s="938" t="s">
        <v>878</v>
      </c>
    </row>
    <row r="145" spans="1:8">
      <c r="A145" s="430" t="s">
        <v>594</v>
      </c>
      <c r="B145" s="948" t="s">
        <v>956</v>
      </c>
      <c r="C145" s="927">
        <v>0</v>
      </c>
      <c r="D145" s="927">
        <v>0</v>
      </c>
      <c r="E145" s="927">
        <v>0</v>
      </c>
      <c r="F145" s="927">
        <v>0</v>
      </c>
      <c r="G145" s="927">
        <v>0</v>
      </c>
      <c r="H145" s="934">
        <v>0</v>
      </c>
    </row>
    <row r="146" spans="1:8" ht="30">
      <c r="A146" s="430" t="s">
        <v>595</v>
      </c>
      <c r="B146" s="948" t="s">
        <v>957</v>
      </c>
      <c r="C146" s="927">
        <v>-51488.033567999999</v>
      </c>
      <c r="D146" s="927">
        <v>0</v>
      </c>
      <c r="E146" s="927">
        <v>0</v>
      </c>
      <c r="F146" s="927">
        <v>-51488.033567999999</v>
      </c>
      <c r="G146" s="927">
        <v>0</v>
      </c>
      <c r="H146" s="934" t="s">
        <v>958</v>
      </c>
    </row>
    <row r="147" spans="1:8">
      <c r="A147" s="430" t="s">
        <v>596</v>
      </c>
      <c r="B147" s="948" t="s">
        <v>959</v>
      </c>
      <c r="C147" s="927">
        <v>-1600829.496357</v>
      </c>
      <c r="D147" s="927">
        <v>-1600829.496357</v>
      </c>
      <c r="E147" s="927">
        <v>0</v>
      </c>
      <c r="F147" s="927">
        <v>0</v>
      </c>
      <c r="G147" s="927">
        <v>0</v>
      </c>
      <c r="H147" s="934" t="s">
        <v>960</v>
      </c>
    </row>
    <row r="148" spans="1:8">
      <c r="A148" s="430" t="s">
        <v>597</v>
      </c>
      <c r="B148" s="948" t="s">
        <v>961</v>
      </c>
      <c r="C148" s="927">
        <v>-3337244</v>
      </c>
      <c r="D148" s="927">
        <v>-3337244</v>
      </c>
      <c r="E148" s="927">
        <v>0</v>
      </c>
      <c r="F148" s="927">
        <v>0</v>
      </c>
      <c r="G148" s="927">
        <v>0</v>
      </c>
      <c r="H148" s="934" t="s">
        <v>944</v>
      </c>
    </row>
    <row r="149" spans="1:8">
      <c r="A149" s="430" t="s">
        <v>598</v>
      </c>
      <c r="B149" s="948" t="s">
        <v>1246</v>
      </c>
      <c r="C149" s="927">
        <v>0</v>
      </c>
      <c r="D149" s="927">
        <v>0</v>
      </c>
      <c r="E149" s="927">
        <v>0</v>
      </c>
      <c r="F149" s="927">
        <v>0</v>
      </c>
      <c r="G149" s="927">
        <v>0</v>
      </c>
      <c r="H149" s="934" t="s">
        <v>944</v>
      </c>
    </row>
    <row r="150" spans="1:8">
      <c r="A150" s="430" t="s">
        <v>599</v>
      </c>
      <c r="B150" s="948" t="s">
        <v>1247</v>
      </c>
      <c r="C150" s="927">
        <v>-1015422.099972</v>
      </c>
      <c r="D150" s="927">
        <v>-1015422.099972</v>
      </c>
      <c r="E150" s="927">
        <v>0</v>
      </c>
      <c r="F150" s="927">
        <v>0</v>
      </c>
      <c r="G150" s="927">
        <v>0</v>
      </c>
      <c r="H150" s="934" t="s">
        <v>944</v>
      </c>
    </row>
    <row r="151" spans="1:8">
      <c r="A151" s="430" t="s">
        <v>600</v>
      </c>
      <c r="B151" s="948" t="s">
        <v>886</v>
      </c>
      <c r="C151" s="927">
        <v>-206972.603244</v>
      </c>
      <c r="D151" s="927">
        <v>0</v>
      </c>
      <c r="E151" s="927">
        <v>0</v>
      </c>
      <c r="F151" s="927">
        <v>0</v>
      </c>
      <c r="G151" s="927">
        <v>-206972.603244</v>
      </c>
      <c r="H151" s="934" t="s">
        <v>930</v>
      </c>
    </row>
    <row r="152" spans="1:8" ht="30">
      <c r="A152" s="430" t="s">
        <v>601</v>
      </c>
      <c r="B152" s="948" t="s">
        <v>962</v>
      </c>
      <c r="C152" s="927">
        <v>-67402.95793199999</v>
      </c>
      <c r="D152" s="927">
        <v>0</v>
      </c>
      <c r="E152" s="927">
        <v>0</v>
      </c>
      <c r="F152" s="927">
        <v>-67402.95793199999</v>
      </c>
      <c r="G152" s="927">
        <v>0</v>
      </c>
      <c r="H152" s="934" t="s">
        <v>963</v>
      </c>
    </row>
    <row r="153" spans="1:8">
      <c r="A153" s="430" t="s">
        <v>602</v>
      </c>
      <c r="B153" s="948" t="s">
        <v>1248</v>
      </c>
      <c r="C153" s="927">
        <v>-142256.61061199999</v>
      </c>
      <c r="D153" s="927">
        <v>-142256.61061199999</v>
      </c>
      <c r="E153" s="927">
        <v>0</v>
      </c>
      <c r="F153" s="927">
        <v>0</v>
      </c>
      <c r="G153" s="927">
        <v>0</v>
      </c>
      <c r="H153" s="934" t="s">
        <v>944</v>
      </c>
    </row>
    <row r="154" spans="1:8" ht="30">
      <c r="A154" s="430" t="s">
        <v>603</v>
      </c>
      <c r="B154" s="948" t="s">
        <v>964</v>
      </c>
      <c r="C154" s="927">
        <v>-1.1556840001303349E-2</v>
      </c>
      <c r="D154" s="927">
        <v>0</v>
      </c>
      <c r="E154" s="927">
        <v>0</v>
      </c>
      <c r="F154" s="927">
        <v>0</v>
      </c>
      <c r="G154" s="927">
        <v>-1.1556840001303349E-2</v>
      </c>
      <c r="H154" s="934" t="s">
        <v>1396</v>
      </c>
    </row>
    <row r="155" spans="1:8">
      <c r="A155" s="430" t="s">
        <v>604</v>
      </c>
      <c r="B155" s="948" t="s">
        <v>892</v>
      </c>
      <c r="C155" s="927">
        <v>0</v>
      </c>
      <c r="D155" s="927">
        <v>0</v>
      </c>
      <c r="E155" s="927">
        <v>0</v>
      </c>
      <c r="F155" s="927">
        <v>0</v>
      </c>
      <c r="G155" s="927">
        <v>0</v>
      </c>
      <c r="H155" s="934" t="s">
        <v>965</v>
      </c>
    </row>
    <row r="156" spans="1:8" ht="30">
      <c r="A156" s="430" t="s">
        <v>605</v>
      </c>
      <c r="B156" s="948" t="s">
        <v>911</v>
      </c>
      <c r="C156" s="927">
        <v>-94537653</v>
      </c>
      <c r="D156" s="927">
        <v>0</v>
      </c>
      <c r="E156" s="927">
        <v>0</v>
      </c>
      <c r="F156" s="927">
        <v>0</v>
      </c>
      <c r="G156" s="927">
        <v>-94537653</v>
      </c>
      <c r="H156" s="934" t="s">
        <v>941</v>
      </c>
    </row>
    <row r="157" spans="1:8">
      <c r="A157" s="430" t="s">
        <v>606</v>
      </c>
      <c r="B157" s="948" t="s">
        <v>1249</v>
      </c>
      <c r="C157" s="927">
        <v>-6167317</v>
      </c>
      <c r="D157" s="927">
        <v>-6167317</v>
      </c>
      <c r="E157" s="927">
        <v>0</v>
      </c>
      <c r="F157" s="927">
        <v>0</v>
      </c>
      <c r="G157" s="927">
        <v>0</v>
      </c>
      <c r="H157" s="934" t="s">
        <v>1250</v>
      </c>
    </row>
    <row r="158" spans="1:8">
      <c r="A158" s="430" t="s">
        <v>607</v>
      </c>
      <c r="B158" s="948" t="s">
        <v>916</v>
      </c>
      <c r="C158" s="927">
        <v>-3653636</v>
      </c>
      <c r="D158" s="927">
        <v>0</v>
      </c>
      <c r="E158" s="927">
        <v>0</v>
      </c>
      <c r="F158" s="927">
        <v>-3653636</v>
      </c>
      <c r="G158" s="927">
        <v>0</v>
      </c>
      <c r="H158" s="934" t="s">
        <v>966</v>
      </c>
    </row>
    <row r="159" spans="1:8">
      <c r="A159" s="430" t="s">
        <v>608</v>
      </c>
      <c r="B159" s="948" t="s">
        <v>1591</v>
      </c>
      <c r="C159" s="927">
        <v>-5140850</v>
      </c>
      <c r="D159" s="927">
        <v>-5140850</v>
      </c>
      <c r="E159" s="927">
        <v>0</v>
      </c>
      <c r="F159" s="927">
        <v>0</v>
      </c>
      <c r="G159" s="927">
        <v>0</v>
      </c>
      <c r="H159" s="934"/>
    </row>
    <row r="160" spans="1:8">
      <c r="A160" s="430" t="s">
        <v>609</v>
      </c>
      <c r="B160" s="948" t="s">
        <v>1637</v>
      </c>
      <c r="C160" s="927">
        <v>-557889.98250299995</v>
      </c>
      <c r="D160" s="927">
        <v>-557889.98250299995</v>
      </c>
      <c r="E160" s="927">
        <v>0</v>
      </c>
      <c r="F160" s="927">
        <v>0</v>
      </c>
      <c r="G160" s="927">
        <v>0</v>
      </c>
      <c r="H160" s="949"/>
    </row>
    <row r="161" spans="1:10">
      <c r="A161" s="430" t="s">
        <v>610</v>
      </c>
      <c r="B161" s="939" t="s">
        <v>1638</v>
      </c>
      <c r="C161" s="927">
        <v>-68722</v>
      </c>
      <c r="D161" s="927">
        <v>-68722</v>
      </c>
      <c r="E161" s="927">
        <v>0</v>
      </c>
      <c r="F161" s="927">
        <v>0</v>
      </c>
      <c r="G161" s="927">
        <v>0</v>
      </c>
      <c r="H161" s="934" t="s">
        <v>944</v>
      </c>
    </row>
    <row r="162" spans="1:10">
      <c r="A162" s="430" t="s">
        <v>611</v>
      </c>
      <c r="B162" s="939" t="s">
        <v>1639</v>
      </c>
      <c r="C162" s="927">
        <v>-941505</v>
      </c>
      <c r="D162" s="927">
        <v>-941537</v>
      </c>
      <c r="E162" s="927">
        <v>0</v>
      </c>
      <c r="F162" s="927">
        <v>0</v>
      </c>
      <c r="G162" s="927">
        <v>0</v>
      </c>
      <c r="H162" s="950"/>
    </row>
    <row r="163" spans="1:10">
      <c r="A163" s="430" t="s">
        <v>612</v>
      </c>
      <c r="B163" s="939"/>
      <c r="C163" s="927">
        <v>0</v>
      </c>
      <c r="D163" s="927"/>
      <c r="E163" s="927"/>
      <c r="F163" s="927"/>
      <c r="G163" s="927"/>
      <c r="H163" s="934"/>
    </row>
    <row r="164" spans="1:10">
      <c r="A164" s="430" t="s">
        <v>613</v>
      </c>
      <c r="B164" s="941"/>
      <c r="C164" s="927">
        <v>0</v>
      </c>
      <c r="D164" s="927"/>
      <c r="E164" s="927"/>
      <c r="F164" s="927"/>
      <c r="G164" s="927"/>
      <c r="H164" s="951"/>
    </row>
    <row r="165" spans="1:10">
      <c r="A165" s="411" t="s">
        <v>614</v>
      </c>
      <c r="B165" s="936"/>
      <c r="C165" s="927">
        <v>0</v>
      </c>
      <c r="D165" s="927"/>
      <c r="E165" s="927"/>
      <c r="F165" s="927"/>
      <c r="G165" s="927"/>
      <c r="H165" s="952"/>
    </row>
    <row r="166" spans="1:10">
      <c r="A166" s="411" t="s">
        <v>615</v>
      </c>
      <c r="B166" s="936"/>
      <c r="C166" s="927">
        <v>0</v>
      </c>
      <c r="D166" s="927"/>
      <c r="E166" s="927"/>
      <c r="F166" s="927"/>
      <c r="G166" s="927"/>
      <c r="H166" s="951"/>
    </row>
    <row r="167" spans="1:10">
      <c r="A167" s="430" t="s">
        <v>615</v>
      </c>
      <c r="B167" s="936"/>
      <c r="C167" s="927"/>
      <c r="D167" s="927"/>
      <c r="E167" s="927"/>
      <c r="F167" s="927"/>
      <c r="G167" s="927"/>
      <c r="H167" s="949"/>
    </row>
    <row r="168" spans="1:10">
      <c r="A168" s="411">
        <v>26</v>
      </c>
      <c r="B168" s="431" t="s">
        <v>1058</v>
      </c>
      <c r="C168" s="521">
        <f>SUM(C134:C167)</f>
        <v>-119391022.52655484</v>
      </c>
      <c r="D168" s="521">
        <f>SUM(D134:D167)</f>
        <v>-20341682.920254003</v>
      </c>
      <c r="E168" s="521">
        <f>SUM(E131:E167)</f>
        <v>0</v>
      </c>
      <c r="F168" s="521">
        <f>SUM(F131:F167)</f>
        <v>-4042501.9915</v>
      </c>
      <c r="G168" s="521">
        <f>SUM(G131:G167)</f>
        <v>-95006869.614800841</v>
      </c>
      <c r="H168" s="522"/>
      <c r="J168" s="434"/>
    </row>
    <row r="169" spans="1:10">
      <c r="A169" s="411">
        <v>27</v>
      </c>
      <c r="B169" s="431" t="s">
        <v>563</v>
      </c>
      <c r="C169" s="937">
        <v>10558767.130234392</v>
      </c>
      <c r="D169" s="937">
        <v>58135</v>
      </c>
      <c r="E169" s="937">
        <v>0</v>
      </c>
      <c r="F169" s="937">
        <v>1122631.08</v>
      </c>
      <c r="G169" s="937">
        <v>9378001.0502343923</v>
      </c>
      <c r="H169" s="526"/>
    </row>
    <row r="170" spans="1:10">
      <c r="A170" s="411">
        <v>28</v>
      </c>
      <c r="B170" s="431" t="s">
        <v>564</v>
      </c>
      <c r="C170" s="937"/>
      <c r="D170" s="953"/>
      <c r="E170" s="953"/>
      <c r="F170" s="953"/>
      <c r="G170" s="953"/>
      <c r="H170" s="949"/>
    </row>
    <row r="171" spans="1:10">
      <c r="A171" s="430">
        <v>29</v>
      </c>
      <c r="B171" s="431" t="s">
        <v>13</v>
      </c>
      <c r="C171" s="521">
        <f>C168-C169-C170</f>
        <v>-129949789.65678923</v>
      </c>
      <c r="D171" s="521">
        <f>+D168-D169-D170</f>
        <v>-20399817.920254003</v>
      </c>
      <c r="E171" s="521">
        <f>+E168-E169-E170</f>
        <v>0</v>
      </c>
      <c r="F171" s="521">
        <f>+F168-F169-F170</f>
        <v>-5165133.0714999996</v>
      </c>
      <c r="G171" s="521">
        <f>+G168-G169-G170</f>
        <v>-104384870.66503523</v>
      </c>
      <c r="H171" s="522"/>
    </row>
    <row r="172" spans="1:10" ht="15.75" thickBot="1">
      <c r="A172" s="430"/>
      <c r="B172" s="435"/>
      <c r="C172" s="484"/>
      <c r="D172" s="484"/>
      <c r="E172" s="484"/>
      <c r="F172" s="484"/>
      <c r="G172" s="484"/>
      <c r="H172" s="523"/>
    </row>
    <row r="173" spans="1:10">
      <c r="A173" s="430">
        <v>30</v>
      </c>
      <c r="B173" s="466" t="s">
        <v>616</v>
      </c>
    </row>
    <row r="174" spans="1:10">
      <c r="A174" s="430">
        <v>31</v>
      </c>
      <c r="B174" s="444" t="s">
        <v>566</v>
      </c>
    </row>
    <row r="175" spans="1:10">
      <c r="A175" s="430">
        <v>32</v>
      </c>
      <c r="B175" s="444" t="s">
        <v>567</v>
      </c>
      <c r="C175" s="406"/>
    </row>
    <row r="176" spans="1:10">
      <c r="A176" s="430">
        <v>33</v>
      </c>
      <c r="B176" s="444" t="s">
        <v>568</v>
      </c>
    </row>
    <row r="177" spans="1:2">
      <c r="A177" s="430">
        <v>34</v>
      </c>
      <c r="B177" s="444" t="s">
        <v>569</v>
      </c>
    </row>
    <row r="178" spans="1:2">
      <c r="A178" s="430">
        <v>35</v>
      </c>
      <c r="B178" s="448" t="s">
        <v>570</v>
      </c>
    </row>
    <row r="179" spans="1:2">
      <c r="A179" s="430">
        <v>36</v>
      </c>
      <c r="B179" s="449" t="s">
        <v>571</v>
      </c>
    </row>
    <row r="180" spans="1:2">
      <c r="A180" s="430"/>
    </row>
  </sheetData>
  <sheetProtection algorithmName="SHA-512" hashValue="x0lemK4gSpEassfNp6XBWIeQ36QNcsJ4XBMtBMy3mJSlzAr1yoNVwk9vJbHSs9WbTEDZIyuftgChyQFM5FKrJg==" saltValue="wsUrKHfJquwc528F533MSQ==" spinCount="100000" sheet="1" objects="1" scenarios="1"/>
  <mergeCells count="4">
    <mergeCell ref="B1:H1"/>
    <mergeCell ref="B86:H86"/>
    <mergeCell ref="B122:H122"/>
    <mergeCell ref="B2:H2"/>
  </mergeCells>
  <pageMargins left="0.7" right="0.7" top="0.75" bottom="0.75" header="0.3" footer="0.3"/>
  <pageSetup scale="40" fitToHeight="0" orientation="landscape" r:id="rId1"/>
  <rowBreaks count="2" manualBreakCount="2">
    <brk id="85" max="16383" man="1"/>
    <brk id="121" max="16383" man="1"/>
  </rowBreaks>
  <ignoredErrors>
    <ignoredError sqref="C168:G168 C108:G108 C73:G7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D723D70-A657-44DA-B12B-0E0123C8D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15</vt:i4>
      </vt:variant>
    </vt:vector>
  </HeadingPairs>
  <TitlesOfParts>
    <vt:vector size="36" baseType="lpstr">
      <vt:lpstr>Title</vt:lpstr>
      <vt:lpstr>Attachment H-7</vt:lpstr>
      <vt:lpstr>1-Project Rev Req</vt:lpstr>
      <vt:lpstr>2-Incentive ROE</vt:lpstr>
      <vt:lpstr>3-Project True-up</vt:lpstr>
      <vt:lpstr>4- Rate Base</vt:lpstr>
      <vt:lpstr>4A - ADIT Summary</vt:lpstr>
      <vt:lpstr>4B - ADIT BOY</vt:lpstr>
      <vt:lpstr>4C - ADIT EOY</vt:lpstr>
      <vt:lpstr>4D - Intangible Pnt</vt:lpstr>
      <vt:lpstr>4E COA</vt:lpstr>
      <vt:lpstr>5-P3 Support</vt:lpstr>
      <vt:lpstr>5A - Revenue Credits</vt:lpstr>
      <vt:lpstr>5B - A&amp;G</vt:lpstr>
      <vt:lpstr>5C - Other Taxes</vt:lpstr>
      <vt:lpstr>6-True-Up Interest</vt:lpstr>
      <vt:lpstr>7 - PBOP</vt:lpstr>
      <vt:lpstr>8 - Depreciation Rates</vt:lpstr>
      <vt:lpstr>9 - EDIT</vt:lpstr>
      <vt:lpstr>10 - Pension Asset Discount</vt:lpstr>
      <vt:lpstr>11 - Cost of Capital</vt:lpstr>
      <vt:lpstr>'1-Project Rev Req'!Print_Area</vt:lpstr>
      <vt:lpstr>'2-Incentive ROE'!Print_Area</vt:lpstr>
      <vt:lpstr>'4- Rate Base'!Print_Area</vt:lpstr>
      <vt:lpstr>'4A - ADIT Summary'!Print_Area</vt:lpstr>
      <vt:lpstr>'4B - ADIT BOY'!Print_Area</vt:lpstr>
      <vt:lpstr>'4D - Intangible Pnt'!Print_Area</vt:lpstr>
      <vt:lpstr>'4E COA'!Print_Area</vt:lpstr>
      <vt:lpstr>'5A - Revenue Credits'!Print_Area</vt:lpstr>
      <vt:lpstr>'5B - A&amp;G'!Print_Area</vt:lpstr>
      <vt:lpstr>'5-P3 Support'!Print_Area</vt:lpstr>
      <vt:lpstr>'6-True-Up Interest'!Print_Area</vt:lpstr>
      <vt:lpstr>'7 - PBOP'!Print_Area</vt:lpstr>
      <vt:lpstr>'8 - Depreciation Rates'!Print_Area</vt:lpstr>
      <vt:lpstr>'Attachment H-7'!Print_Area</vt:lpstr>
      <vt:lpstr>Title!Print_Area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Benjamin S:(PECO)</dc:creator>
  <cp:lastModifiedBy>Jamison, Tamara J:(PECO)</cp:lastModifiedBy>
  <cp:lastPrinted>2019-05-29T17:23:09Z</cp:lastPrinted>
  <dcterms:created xsi:type="dcterms:W3CDTF">2019-04-12T17:49:11Z</dcterms:created>
  <dcterms:modified xsi:type="dcterms:W3CDTF">2020-07-16T21:38:41Z</dcterms:modified>
  <cp:contentStatus/>
</cp:coreProperties>
</file>