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mob-02\bschomemob1\ALVAMM\My Documents\PECO Formula Updates\2020\"/>
    </mc:Choice>
  </mc:AlternateContent>
  <xr:revisionPtr revIDLastSave="0" documentId="8_{F9A98E0D-234E-420E-A97B-A87F120913F3}" xr6:coauthVersionLast="44" xr6:coauthVersionMax="44" xr10:uidLastSave="{00000000-0000-0000-0000-000000000000}"/>
  <bookViews>
    <workbookView xWindow="2550" yWindow="2550" windowWidth="15375" windowHeight="7875" tabRatio="793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10" i="13" s="1"/>
  <c r="D6" i="16" s="1"/>
  <c r="D63" i="2"/>
  <c r="D65" i="2" s="1"/>
  <c r="D71" i="2" s="1"/>
  <c r="H31" i="17" l="1"/>
  <c r="H33" i="17" l="1"/>
  <c r="H35" i="17" s="1"/>
  <c r="D7" i="16" l="1"/>
  <c r="D8" i="16" s="1"/>
  <c r="D9" i="16" s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<sst xmlns="http://schemas.openxmlformats.org/spreadsheetml/2006/main" count="104" uniqueCount="70">
  <si>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</si>
  <si>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</si>
  <si>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</si>
  <si>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</si>
  <si>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</si>
  <si>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</si>
  <si>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</si>
  <si>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</si>
  <si>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</si>
  <si>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</si>
  <si>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</si>
  <si>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</si>
  <si>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</si>
  <si>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</si>
  <si>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</si>
  <si>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</si>
  <si>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</si>
  <si>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</si>
  <si>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</si>
  <si>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</si>
  <si>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</si>
  <si>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</si>
  <si>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</si>
  <si>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</si>
  <si>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</si>
  <si>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</si>
  <si>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</si>
  <si>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</si>
  <si>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</si>
  <si>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</si>
  <si>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</si>
  <si>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</si>
  <si>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</si>
  <si>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</si>
  <si>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</si>
  <si>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</si>
  <si>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</si>
  <si>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</si>
  <si>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</si>
  <si>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</si>
  <si>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</si>
  <si>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</si>
  <si>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</si>
  <si>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</si>
  <si>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</si>
  <si>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</si>
  <si>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</si>
  <si>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</si>
  <si>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</si>
  <si>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</si>
  <si>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</si>
  <si>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</si>
  <si>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</si>
  <si>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</si>
  <si>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</si>
  <si>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</si>
  <si>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</si>
  <si>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</si>
  <si>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</si>
  <si>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</si>
  <si>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</si>
  <si>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</si>
  <si>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</si>
  <si>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</si>
  <si>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</si>
  <si>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</si>
  <si>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</si>
  <si>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</si>
  <si>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2018 through December 31, 2019</t>
  </si>
  <si>
    <t>For  the 12 months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</si>
</sst>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76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164" fontId="6" fillId="0" borderId="0" xfId="1" applyNumberFormat="1" applyFont="1"/>
    <xf numFmtId="164" fontId="6" fillId="0" borderId="3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7" fillId="0" borderId="0" xfId="0" applyFont="1"/>
    <xf numFmtId="0" fontId="19" fillId="0" borderId="0" xfId="0" applyFont="1"/>
    <xf numFmtId="170" fontId="18" fillId="2" borderId="0" xfId="1" applyNumberFormat="1" applyFont="1" applyFill="1" applyProtection="1">
      <protection locked="0"/>
    </xf>
    <xf numFmtId="164" fontId="18" fillId="2" borderId="0" xfId="1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tabSelected="1" view="pageBreakPreview" zoomScaleNormal="100" zoomScaleSheetLayoutView="100" workbookViewId="0">
      <selection activeCell="E9" sqref="E9"/>
    </sheetView>
  </sheetViews>
  <sheetFormatPr defaultColWidth="8.85546875" defaultRowHeight="15.75"/>
  <cols>
    <col min="1" max="16384" width="8.85546875" style="25"/>
  </cols>
  <sheetData>
    <row r="1" spans="1:8" ht="20.25">
      <c r="A1" s="24"/>
    </row>
    <row r="2" spans="1:8" ht="20.25">
      <c r="A2" s="24"/>
    </row>
    <row r="4" spans="1:8">
      <c r="A4" s="68" t="s">
        <v>30</v>
      </c>
      <c r="B4" s="68"/>
      <c r="C4" s="68"/>
      <c r="D4" s="68"/>
      <c r="E4" s="68"/>
      <c r="F4" s="68"/>
      <c r="G4" s="68"/>
      <c r="H4" s="68"/>
    </row>
    <row r="5" spans="1:8">
      <c r="A5" s="68" t="s">
        <v>32</v>
      </c>
      <c r="B5" s="68"/>
      <c r="C5" s="68"/>
      <c r="D5" s="68"/>
      <c r="E5" s="68"/>
      <c r="F5" s="68"/>
      <c r="G5" s="68"/>
      <c r="H5" s="68"/>
    </row>
  </sheetData>
  <sheetProtection algorithmName="SHA-512" hashValue="PNS4foLwT9rC2o9BsXZSmbs6q6P6VGrMThgHSa6BCtPMZZYiHMByvtItNXhQYd516UHz7/B4dDLoZgocR9uNzg==" saltValue="o6r6ssVP+OTc2lcez1UXpQ==" spinCount="100000" sheet="1" objects="1" scenarios="1"/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D9"/>
  <sheetViews>
    <sheetView zoomScaleNormal="100" workbookViewId="0">
      <selection activeCell="D11" sqref="D11"/>
    </sheetView>
  </sheetViews>
  <sheetFormatPr defaultColWidth="9.140625" defaultRowHeight="15"/>
  <cols>
    <col min="1" max="1" width="5.28515625" style="26" customWidth="1"/>
    <col min="2" max="2" width="29" style="26" customWidth="1"/>
    <col min="3" max="3" width="30.85546875" style="26" customWidth="1"/>
    <col min="4" max="4" width="20.85546875" style="26" customWidth="1"/>
    <col min="5" max="16384" width="9.140625" style="26"/>
  </cols>
  <sheetData>
    <row r="4" spans="1:4" ht="2.25" customHeight="1"/>
    <row r="5" spans="1:4" ht="28.5" customHeight="1">
      <c r="A5" s="69" t="s">
        <v>35</v>
      </c>
      <c r="B5" s="70"/>
      <c r="C5" s="70"/>
      <c r="D5" s="71"/>
    </row>
    <row r="6" spans="1:4" ht="45">
      <c r="A6" s="27">
        <v>1</v>
      </c>
      <c r="B6" s="28" t="s">
        <v>36</v>
      </c>
      <c r="C6" s="28" t="s">
        <v>66</v>
      </c>
      <c r="D6" s="29">
        <f>'1 - Revenue Requirement'!D10</f>
        <v>3789875.5492993165</v>
      </c>
    </row>
    <row r="7" spans="1:4" ht="30">
      <c r="A7" s="27">
        <v>2</v>
      </c>
      <c r="B7" s="28" t="s">
        <v>37</v>
      </c>
      <c r="C7" s="28" t="s">
        <v>67</v>
      </c>
      <c r="D7" s="29">
        <f>'2 - True-Up'!H35+134737</f>
        <v>-1622570.5661942558</v>
      </c>
    </row>
    <row r="8" spans="1:4" ht="60">
      <c r="A8" s="27">
        <v>3</v>
      </c>
      <c r="B8" s="28" t="s">
        <v>38</v>
      </c>
      <c r="C8" s="28" t="s">
        <v>39</v>
      </c>
      <c r="D8" s="29">
        <f>D6+D7</f>
        <v>2167304.9831050606</v>
      </c>
    </row>
    <row r="9" spans="1:4" ht="60">
      <c r="A9" s="27">
        <v>4</v>
      </c>
      <c r="B9" s="28" t="s">
        <v>40</v>
      </c>
      <c r="C9" s="28" t="s">
        <v>65</v>
      </c>
      <c r="D9" s="30">
        <f>D8/12</f>
        <v>180608.74859208838</v>
      </c>
    </row>
  </sheetData>
  <sheetProtection algorithmName="SHA-512" hashValue="LXkCY/GNvgWinGMvP+74G9FU09MSDmZ73/o8XTn0dm3EVXWwhQ5IH5tfZm5//09dlazZjDdapOWkCk40j7HebA==" saltValue="lJnjzW31aw4J0TG5JdPmaw==" spinCount="100000" sheet="1" objects="1" scenarios="1"/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zoomScaleNormal="100" workbookViewId="0">
      <selection activeCell="A5" sqref="A5:H5"/>
    </sheetView>
  </sheetViews>
  <sheetFormatPr defaultColWidth="8.85546875" defaultRowHeight="15"/>
  <cols>
    <col min="1" max="1" width="3" style="1" customWidth="1"/>
    <col min="2" max="2" width="1.7109375" style="2" customWidth="1"/>
    <col min="3" max="3" width="72.5703125" style="2" bestFit="1" customWidth="1"/>
    <col min="4" max="4" width="15.28515625" style="2" bestFit="1" customWidth="1"/>
    <col min="5" max="16384" width="8.85546875" style="2"/>
  </cols>
  <sheetData>
    <row r="2" spans="1:12">
      <c r="G2" s="31"/>
    </row>
    <row r="3" spans="1:12">
      <c r="A3" s="72" t="s">
        <v>31</v>
      </c>
      <c r="B3" s="72"/>
      <c r="C3" s="72"/>
      <c r="D3" s="72"/>
      <c r="E3" s="72"/>
      <c r="F3" s="72"/>
      <c r="G3" s="72"/>
      <c r="H3" s="72"/>
      <c r="I3" s="32"/>
      <c r="J3" s="32"/>
      <c r="K3" s="32"/>
      <c r="L3" s="32"/>
    </row>
    <row r="4" spans="1:12">
      <c r="A4" s="72" t="s">
        <v>19</v>
      </c>
      <c r="B4" s="72"/>
      <c r="C4" s="72"/>
      <c r="D4" s="72"/>
      <c r="E4" s="72"/>
      <c r="F4" s="72"/>
      <c r="G4" s="72"/>
      <c r="H4" s="72"/>
      <c r="I4" s="32"/>
      <c r="J4" s="32"/>
      <c r="K4" s="32"/>
    </row>
    <row r="5" spans="1:12">
      <c r="A5" s="73" t="s">
        <v>69</v>
      </c>
      <c r="B5" s="73"/>
      <c r="C5" s="73"/>
      <c r="D5" s="73"/>
      <c r="E5" s="73"/>
      <c r="F5" s="73"/>
      <c r="G5" s="73"/>
      <c r="H5" s="73"/>
      <c r="I5" s="32"/>
      <c r="J5" s="32"/>
      <c r="K5" s="32"/>
    </row>
    <row r="6" spans="1:12">
      <c r="B6" s="1"/>
      <c r="C6" s="1"/>
      <c r="D6" s="1"/>
      <c r="E6" s="1"/>
      <c r="F6" s="1"/>
      <c r="G6" s="1"/>
      <c r="H6" s="1"/>
      <c r="I6" s="32"/>
      <c r="J6" s="32"/>
      <c r="K6" s="32"/>
    </row>
    <row r="7" spans="1:12">
      <c r="D7" s="33"/>
      <c r="E7" s="34"/>
      <c r="F7" s="34"/>
      <c r="I7" s="32"/>
      <c r="J7" s="32"/>
      <c r="K7" s="32"/>
    </row>
    <row r="8" spans="1:12">
      <c r="A8" s="1">
        <v>1</v>
      </c>
      <c r="C8" s="2" t="s">
        <v>26</v>
      </c>
      <c r="D8" s="3">
        <f>-SUM('3 - Support'!D59:D62)*'3 - Support'!C78</f>
        <v>3923410.5492993165</v>
      </c>
    </row>
    <row r="9" spans="1:12">
      <c r="A9" s="1">
        <v>2</v>
      </c>
      <c r="C9" s="2" t="s">
        <v>33</v>
      </c>
      <c r="D9" s="3">
        <f>-'3 - Support'!D69</f>
        <v>-133535</v>
      </c>
      <c r="E9" s="6"/>
      <c r="F9" s="6"/>
    </row>
    <row r="10" spans="1:12">
      <c r="A10" s="1">
        <v>3</v>
      </c>
      <c r="C10" s="4" t="s">
        <v>11</v>
      </c>
      <c r="D10" s="3">
        <f>D8+D9</f>
        <v>3789875.5492993165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7.2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5"/>
    </row>
  </sheetData>
  <sheetProtection algorithmName="SHA-512" hashValue="LePhbiecmzEjBYCS5uEv5wp6yUW9cYjP7/tYLSPWbI3NQtLwyiZcIQhA691uK4l+MdT3fQLbzKMP+urYd0AV2Q==" saltValue="OxXMcNX3r6cAsodL9ZYwjQ==" spinCount="100000" sheet="1" objects="1" scenarios="1"/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J35"/>
  <sheetViews>
    <sheetView zoomScale="80" zoomScaleNormal="80" workbookViewId="0">
      <selection activeCell="K22" sqref="K22"/>
    </sheetView>
  </sheetViews>
  <sheetFormatPr defaultColWidth="8.85546875" defaultRowHeight="15"/>
  <cols>
    <col min="1" max="4" width="8.85546875" style="2"/>
    <col min="5" max="5" width="10.28515625" style="2" customWidth="1"/>
    <col min="6" max="7" width="8.85546875" style="2"/>
    <col min="8" max="8" width="12" style="2" customWidth="1"/>
    <col min="9" max="9" width="12" style="2" bestFit="1" customWidth="1"/>
    <col min="10" max="10" width="9.5703125" style="2" bestFit="1" customWidth="1"/>
    <col min="11" max="16384" width="8.8554687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75">
      <c r="A5" s="9"/>
      <c r="B5" s="9"/>
      <c r="F5" s="9"/>
      <c r="G5" s="9"/>
      <c r="H5" s="12"/>
    </row>
    <row r="6" spans="1:9" ht="39">
      <c r="A6" s="13"/>
      <c r="B6" s="14"/>
      <c r="F6" s="15" t="s">
        <v>42</v>
      </c>
      <c r="G6" s="15"/>
      <c r="H6" s="16" t="s">
        <v>43</v>
      </c>
    </row>
    <row r="7" spans="1:9" ht="15.75">
      <c r="A7" s="13">
        <v>1</v>
      </c>
      <c r="B7" s="17"/>
      <c r="F7" s="9" t="s">
        <v>44</v>
      </c>
      <c r="G7" s="18"/>
      <c r="H7" s="61">
        <v>3.5999999999999999E-3</v>
      </c>
    </row>
    <row r="8" spans="1:9" ht="15.75">
      <c r="A8" s="13">
        <v>2</v>
      </c>
      <c r="B8" s="17"/>
      <c r="F8" s="9" t="s">
        <v>45</v>
      </c>
      <c r="G8" s="18"/>
      <c r="H8" s="61">
        <v>3.3E-3</v>
      </c>
    </row>
    <row r="9" spans="1:9" ht="15.75">
      <c r="A9" s="13">
        <v>3</v>
      </c>
      <c r="B9" s="17"/>
      <c r="F9" s="9" t="s">
        <v>46</v>
      </c>
      <c r="G9" s="18"/>
      <c r="H9" s="61">
        <v>3.5999999999999999E-3</v>
      </c>
    </row>
    <row r="10" spans="1:9" ht="15.75">
      <c r="A10" s="13">
        <v>4</v>
      </c>
      <c r="B10" s="17"/>
      <c r="F10" s="9" t="s">
        <v>47</v>
      </c>
      <c r="G10" s="18"/>
      <c r="H10" s="61">
        <v>3.7000000000000002E-3</v>
      </c>
    </row>
    <row r="11" spans="1:9" ht="15.75">
      <c r="A11" s="13">
        <v>5</v>
      </c>
      <c r="B11" s="17"/>
      <c r="F11" s="9" t="s">
        <v>48</v>
      </c>
      <c r="G11" s="18"/>
      <c r="H11" s="61">
        <v>3.8E-3</v>
      </c>
    </row>
    <row r="12" spans="1:9" ht="15.75">
      <c r="A12" s="13">
        <v>6</v>
      </c>
      <c r="B12" s="17"/>
      <c r="F12" s="9" t="s">
        <v>49</v>
      </c>
      <c r="G12" s="18"/>
      <c r="H12" s="61">
        <v>3.7000000000000002E-3</v>
      </c>
    </row>
    <row r="13" spans="1:9" ht="15.75">
      <c r="A13" s="13">
        <v>7</v>
      </c>
      <c r="B13" s="17"/>
      <c r="F13" s="9" t="s">
        <v>50</v>
      </c>
      <c r="G13" s="18"/>
      <c r="H13" s="61">
        <v>4.0000000000000001E-3</v>
      </c>
    </row>
    <row r="14" spans="1:9" ht="15.75">
      <c r="A14" s="13">
        <v>8</v>
      </c>
      <c r="B14" s="17"/>
      <c r="F14" s="9" t="s">
        <v>51</v>
      </c>
      <c r="G14" s="18"/>
      <c r="H14" s="61">
        <v>4.0000000000000001E-3</v>
      </c>
    </row>
    <row r="15" spans="1:9" ht="15.75">
      <c r="A15" s="13">
        <v>9</v>
      </c>
      <c r="B15" s="17"/>
      <c r="F15" s="9" t="s">
        <v>52</v>
      </c>
      <c r="G15" s="18"/>
      <c r="H15" s="61">
        <v>3.8999999999999998E-3</v>
      </c>
    </row>
    <row r="16" spans="1:9" ht="15.75">
      <c r="A16" s="13">
        <v>10</v>
      </c>
      <c r="B16" s="17"/>
      <c r="F16" s="9" t="s">
        <v>53</v>
      </c>
      <c r="G16" s="18"/>
      <c r="H16" s="61">
        <v>4.1999999999999997E-3</v>
      </c>
    </row>
    <row r="17" spans="1:10" ht="15.75">
      <c r="A17" s="13">
        <v>11</v>
      </c>
      <c r="B17" s="17"/>
      <c r="F17" s="9" t="s">
        <v>54</v>
      </c>
      <c r="G17" s="18"/>
      <c r="H17" s="61">
        <v>4.1000000000000003E-3</v>
      </c>
    </row>
    <row r="18" spans="1:10" ht="15.75">
      <c r="A18" s="13">
        <v>12</v>
      </c>
      <c r="B18" s="17"/>
      <c r="F18" s="9" t="s">
        <v>55</v>
      </c>
      <c r="G18" s="18"/>
      <c r="H18" s="61">
        <v>4.1999999999999997E-3</v>
      </c>
    </row>
    <row r="19" spans="1:10" ht="15.75">
      <c r="A19" s="13">
        <v>13</v>
      </c>
      <c r="B19" s="17"/>
      <c r="F19" s="9" t="s">
        <v>44</v>
      </c>
      <c r="G19" s="18"/>
      <c r="H19" s="61">
        <v>4.4000000000000003E-3</v>
      </c>
    </row>
    <row r="20" spans="1:10" ht="15.75">
      <c r="A20" s="13">
        <v>14</v>
      </c>
      <c r="B20" s="17"/>
      <c r="F20" s="9" t="s">
        <v>45</v>
      </c>
      <c r="G20" s="18"/>
      <c r="H20" s="61">
        <v>4.0000000000000001E-3</v>
      </c>
    </row>
    <row r="21" spans="1:10" ht="15.75">
      <c r="A21" s="13">
        <v>15</v>
      </c>
      <c r="B21" s="17"/>
      <c r="F21" s="9" t="s">
        <v>46</v>
      </c>
      <c r="G21" s="18"/>
      <c r="H21" s="61">
        <v>4.4000000000000003E-3</v>
      </c>
    </row>
    <row r="22" spans="1:10" ht="15.75">
      <c r="A22" s="13">
        <v>16</v>
      </c>
      <c r="B22" s="17"/>
      <c r="F22" s="9" t="s">
        <v>47</v>
      </c>
      <c r="G22" s="18"/>
      <c r="H22" s="61">
        <v>4.4999999999999997E-3</v>
      </c>
    </row>
    <row r="23" spans="1:10" ht="15.75">
      <c r="A23" s="13">
        <v>17</v>
      </c>
      <c r="B23" s="17"/>
      <c r="F23" s="9" t="s">
        <v>48</v>
      </c>
      <c r="G23" s="18"/>
      <c r="H23" s="61">
        <v>4.5999999999999999E-3</v>
      </c>
    </row>
    <row r="24" spans="1:10" ht="15.75">
      <c r="A24" s="13">
        <v>18</v>
      </c>
      <c r="B24" s="19" t="s">
        <v>56</v>
      </c>
      <c r="G24" s="20"/>
      <c r="H24" s="21">
        <f>AVERAGE(H7:H23)</f>
        <v>4.0000000000000001E-3</v>
      </c>
    </row>
    <row r="26" spans="1:10" ht="15.75">
      <c r="A26" s="17" t="s">
        <v>34</v>
      </c>
      <c r="B26" s="17"/>
    </row>
    <row r="27" spans="1:10">
      <c r="A27" s="22" t="s">
        <v>57</v>
      </c>
      <c r="B27" s="22" t="s">
        <v>58</v>
      </c>
    </row>
    <row r="29" spans="1:10" ht="15.75">
      <c r="A29" s="13">
        <v>19</v>
      </c>
      <c r="B29" s="2" t="s">
        <v>59</v>
      </c>
      <c r="H29" s="62">
        <v>880220.93052972294</v>
      </c>
      <c r="I29" s="23"/>
      <c r="J29" s="23"/>
    </row>
    <row r="30" spans="1:10" ht="15.75">
      <c r="A30" s="13">
        <v>20</v>
      </c>
      <c r="B30" s="2" t="s">
        <v>60</v>
      </c>
      <c r="H30" s="62">
        <v>2525640</v>
      </c>
      <c r="I30" s="23"/>
      <c r="J30" s="23"/>
    </row>
    <row r="31" spans="1:10" ht="15.75">
      <c r="A31" s="13">
        <v>21</v>
      </c>
      <c r="B31" s="2" t="s">
        <v>61</v>
      </c>
      <c r="H31" s="23">
        <f>-H30+H29</f>
        <v>-1645419.0694702771</v>
      </c>
      <c r="I31" s="23"/>
      <c r="J31" s="23"/>
    </row>
    <row r="32" spans="1:10" ht="15.75">
      <c r="A32" s="13">
        <v>22</v>
      </c>
      <c r="B32" s="2" t="s">
        <v>62</v>
      </c>
      <c r="H32" s="23">
        <v>17</v>
      </c>
    </row>
    <row r="33" spans="1:8" ht="15.75">
      <c r="A33" s="13">
        <v>23</v>
      </c>
      <c r="B33" s="2" t="s">
        <v>63</v>
      </c>
      <c r="H33" s="23">
        <f>H31*H24*H32</f>
        <v>-111888.49672397884</v>
      </c>
    </row>
    <row r="34" spans="1:8">
      <c r="H34" s="23"/>
    </row>
    <row r="35" spans="1:8" ht="15.75">
      <c r="A35" s="13">
        <v>24</v>
      </c>
      <c r="B35" s="2" t="s">
        <v>64</v>
      </c>
      <c r="H35" s="23">
        <f>H31+H33</f>
        <v>-1757307.5661942558</v>
      </c>
    </row>
  </sheetData>
  <sheetProtection algorithmName="SHA-512" hashValue="3RQYdf085UHtbeBBzMsleS5NTPsuQlCRl0rX/JXmDJYQtGocxudJyDCvDt5VMmWwbl3r79W8mbeJ0Uk3q25JnQ==" saltValue="z3DywXXyWToORT6zOsb2m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zoomScale="80" zoomScaleNormal="80" workbookViewId="0">
      <selection activeCell="F61" sqref="F61"/>
    </sheetView>
  </sheetViews>
  <sheetFormatPr defaultColWidth="8.85546875" defaultRowHeight="15"/>
  <cols>
    <col min="1" max="1" width="11.5703125" style="2" customWidth="1"/>
    <col min="2" max="2" width="46.28515625" style="2" customWidth="1"/>
    <col min="3" max="5" width="22.85546875" style="2" customWidth="1"/>
    <col min="6" max="16384" width="8.85546875" style="2"/>
  </cols>
  <sheetData>
    <row r="5" spans="1:19" ht="15.75">
      <c r="A5" s="36"/>
      <c r="D5" s="37"/>
    </row>
    <row r="8" spans="1:19">
      <c r="E8" s="31"/>
    </row>
    <row r="9" spans="1:19">
      <c r="B9" s="72" t="s">
        <v>31</v>
      </c>
      <c r="C9" s="72"/>
      <c r="D9" s="72"/>
      <c r="E9" s="72"/>
      <c r="F9" s="72"/>
      <c r="G9" s="72"/>
      <c r="H9" s="7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B10" s="72" t="s">
        <v>18</v>
      </c>
      <c r="C10" s="72"/>
      <c r="D10" s="72"/>
      <c r="E10" s="72"/>
      <c r="F10" s="72"/>
      <c r="G10" s="72"/>
      <c r="H10" s="72"/>
    </row>
    <row r="11" spans="1:19">
      <c r="B11" s="73" t="s">
        <v>68</v>
      </c>
      <c r="C11" s="73"/>
      <c r="D11" s="73"/>
      <c r="E11" s="73"/>
      <c r="F11" s="73"/>
      <c r="G11" s="73"/>
      <c r="H11" s="73"/>
    </row>
    <row r="12" spans="1:19">
      <c r="B12" s="1"/>
      <c r="C12" s="1"/>
      <c r="D12" s="1"/>
      <c r="E12" s="1"/>
      <c r="F12" s="1"/>
      <c r="G12" s="1"/>
      <c r="H12" s="1"/>
    </row>
    <row r="13" spans="1:19">
      <c r="C13" s="63">
        <v>43465</v>
      </c>
      <c r="D13" s="56" t="s">
        <v>9</v>
      </c>
      <c r="E13" s="63">
        <v>43830</v>
      </c>
    </row>
    <row r="14" spans="1:19">
      <c r="B14" s="4" t="s">
        <v>0</v>
      </c>
      <c r="C14"/>
      <c r="D14" s="57"/>
      <c r="E14"/>
    </row>
    <row r="15" spans="1:19">
      <c r="B15" s="2" t="s">
        <v>2</v>
      </c>
      <c r="C15" s="64">
        <v>7627294</v>
      </c>
      <c r="D15" s="54">
        <f t="shared" ref="D15" si="0">E15-C15</f>
        <v>-210530.46999999974</v>
      </c>
      <c r="E15" s="64">
        <v>7416763.5300000003</v>
      </c>
    </row>
    <row r="16" spans="1:19">
      <c r="B16" s="2" t="s">
        <v>20</v>
      </c>
      <c r="C16" s="64">
        <v>21776261</v>
      </c>
      <c r="D16" s="54">
        <f t="shared" ref="D16" si="1">E16-C16</f>
        <v>-819225.72170000151</v>
      </c>
      <c r="E16" s="64">
        <v>20957035.278299998</v>
      </c>
    </row>
    <row r="17" spans="2:8">
      <c r="B17" s="2" t="s">
        <v>3</v>
      </c>
      <c r="C17" s="64">
        <v>17057254</v>
      </c>
      <c r="D17" s="54">
        <f t="shared" ref="D17" si="2">E17-C17</f>
        <v>-1723251.0500000007</v>
      </c>
      <c r="E17" s="64">
        <v>15334002.949999999</v>
      </c>
    </row>
    <row r="18" spans="2:8">
      <c r="B18" s="2" t="s">
        <v>4</v>
      </c>
      <c r="C18" s="65">
        <v>393218</v>
      </c>
      <c r="D18" s="55">
        <f t="shared" ref="D18" si="3">E18-C18</f>
        <v>-13122.179999999993</v>
      </c>
      <c r="E18" s="65">
        <v>380095.82</v>
      </c>
    </row>
    <row r="19" spans="2:8">
      <c r="B19" s="39" t="s">
        <v>1</v>
      </c>
      <c r="C19" s="58">
        <f>SUM(C15:C18)</f>
        <v>46854027</v>
      </c>
      <c r="D19" s="54">
        <f>SUM(D15:D18)</f>
        <v>-2766129.4217000022</v>
      </c>
      <c r="E19" s="58">
        <f>SUM(E15:E18)</f>
        <v>44087897.578299999</v>
      </c>
    </row>
    <row r="20" spans="2:8">
      <c r="C20" s="58"/>
      <c r="D20" s="57"/>
      <c r="E20"/>
    </row>
    <row r="21" spans="2:8">
      <c r="B21" s="4" t="s">
        <v>5</v>
      </c>
      <c r="C21" s="58"/>
      <c r="D21" s="59"/>
      <c r="E21" s="60"/>
    </row>
    <row r="22" spans="2:8">
      <c r="B22" s="2" t="s">
        <v>2</v>
      </c>
      <c r="C22" s="64">
        <v>0</v>
      </c>
      <c r="D22" s="54">
        <f t="shared" ref="D22" si="4">E22-C22</f>
        <v>0</v>
      </c>
      <c r="E22" s="64">
        <v>0</v>
      </c>
    </row>
    <row r="23" spans="2:8">
      <c r="B23" s="2" t="s">
        <v>20</v>
      </c>
      <c r="C23" s="64">
        <v>7502269</v>
      </c>
      <c r="D23" s="54">
        <f t="shared" ref="D23" si="5">E23-C23</f>
        <v>-59629</v>
      </c>
      <c r="E23" s="64">
        <v>7442640</v>
      </c>
      <c r="G23" s="53"/>
    </row>
    <row r="24" spans="2:8">
      <c r="B24" s="2" t="s">
        <v>3</v>
      </c>
      <c r="C24" s="64">
        <v>2789109</v>
      </c>
      <c r="D24" s="54">
        <f t="shared" ref="D24" si="6">E24-C24</f>
        <v>-215267</v>
      </c>
      <c r="E24" s="64">
        <v>2573842</v>
      </c>
    </row>
    <row r="25" spans="2:8">
      <c r="B25" s="2" t="s">
        <v>4</v>
      </c>
      <c r="C25" s="65">
        <v>1350282</v>
      </c>
      <c r="D25" s="55">
        <f t="shared" ref="D25" si="7">E25-C25</f>
        <v>-78933</v>
      </c>
      <c r="E25" s="65">
        <v>1271349</v>
      </c>
    </row>
    <row r="26" spans="2:8">
      <c r="B26" s="39" t="s">
        <v>1</v>
      </c>
      <c r="C26" s="40">
        <f>SUM(C22:C25)</f>
        <v>11641660</v>
      </c>
      <c r="D26" s="23">
        <f>SUM(D22:D25)</f>
        <v>-353829</v>
      </c>
      <c r="E26" s="40">
        <f>SUM(E22:E25)</f>
        <v>11287831</v>
      </c>
    </row>
    <row r="27" spans="2:8">
      <c r="C27" s="23"/>
      <c r="D27" s="41"/>
      <c r="E27" s="41"/>
    </row>
    <row r="28" spans="2:8" ht="15.75" thickBot="1">
      <c r="C28" s="23"/>
    </row>
    <row r="29" spans="2:8" ht="35.450000000000003" customHeight="1" thickBot="1">
      <c r="B29" s="42" t="s">
        <v>6</v>
      </c>
      <c r="C29" s="66">
        <v>7.3211515122655155E-2</v>
      </c>
      <c r="D29" s="74" t="s">
        <v>25</v>
      </c>
      <c r="E29" s="75"/>
      <c r="F29" s="75"/>
      <c r="G29" s="75"/>
      <c r="H29" s="75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549252.48034772696</v>
      </c>
      <c r="D31" s="23">
        <f t="shared" ref="D31" si="9">E31-C31</f>
        <v>-4365.5294352488127</v>
      </c>
      <c r="E31" s="23">
        <f>E23*$C$29</f>
        <v>544886.95091247815</v>
      </c>
    </row>
    <row r="32" spans="2:8">
      <c r="B32" s="2" t="s">
        <v>3</v>
      </c>
      <c r="C32" s="23">
        <f>C24*$C$29</f>
        <v>204194.89573223359</v>
      </c>
      <c r="D32" s="23">
        <f t="shared" ref="D32" si="10">E32-C32</f>
        <v>-15760.023225908604</v>
      </c>
      <c r="E32" s="23">
        <f>E24*$C$29</f>
        <v>188434.87250632499</v>
      </c>
    </row>
    <row r="33" spans="2:7">
      <c r="B33" s="2" t="s">
        <v>4</v>
      </c>
      <c r="C33" s="38">
        <f>C25*$C$29</f>
        <v>98856.191062849044</v>
      </c>
      <c r="D33" s="38">
        <f t="shared" ref="D33" si="11">E33-C33</f>
        <v>-5778.8045231765427</v>
      </c>
      <c r="E33" s="38">
        <f>E25*$C$29</f>
        <v>93077.386539672501</v>
      </c>
    </row>
    <row r="34" spans="2:7">
      <c r="B34" s="39" t="s">
        <v>1</v>
      </c>
      <c r="C34" s="41">
        <f>SUM(C30:C33)</f>
        <v>852303.56714280951</v>
      </c>
      <c r="D34" s="41">
        <f t="shared" ref="D34" si="12">E34-C34</f>
        <v>-25904.357184333843</v>
      </c>
      <c r="E34" s="41">
        <f>SUM(E30:E33)</f>
        <v>826399.20995847567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>
      <c r="B39" s="2" t="s">
        <v>2</v>
      </c>
      <c r="C39" s="64">
        <v>9355</v>
      </c>
      <c r="D39" s="54">
        <f t="shared" ref="D39" si="13">E39-C39</f>
        <v>-240.36000000000058</v>
      </c>
      <c r="E39" s="64">
        <v>9114.64</v>
      </c>
    </row>
    <row r="40" spans="2:7">
      <c r="B40" s="2" t="s">
        <v>20</v>
      </c>
      <c r="C40" s="64">
        <v>848578</v>
      </c>
      <c r="D40" s="54">
        <f t="shared" ref="D40" si="14">E40-C40</f>
        <v>27532.280000000028</v>
      </c>
      <c r="E40" s="64">
        <v>876110.28</v>
      </c>
    </row>
    <row r="41" spans="2:7">
      <c r="B41" s="2" t="s">
        <v>3</v>
      </c>
      <c r="C41" s="64">
        <v>145948</v>
      </c>
      <c r="D41" s="54">
        <f t="shared" ref="D41" si="15">E41-C41</f>
        <v>-4018.6700000000128</v>
      </c>
      <c r="E41" s="64">
        <v>141929.32999999999</v>
      </c>
    </row>
    <row r="42" spans="2:7">
      <c r="B42" s="2" t="s">
        <v>4</v>
      </c>
      <c r="C42" s="65">
        <v>2581</v>
      </c>
      <c r="D42" s="55">
        <f t="shared" ref="D42" si="16">E42-C42</f>
        <v>-213.57000000000016</v>
      </c>
      <c r="E42" s="65">
        <v>2367.4299999999998</v>
      </c>
    </row>
    <row r="43" spans="2:7">
      <c r="B43" s="39" t="s">
        <v>1</v>
      </c>
      <c r="C43" s="23">
        <f>SUM(C39:C42)</f>
        <v>1006462</v>
      </c>
      <c r="D43" s="23">
        <f>SUM(D39:D42)</f>
        <v>23059.680000000015</v>
      </c>
      <c r="E43" s="23">
        <f>SUM(E39:E42)</f>
        <v>1029521.68</v>
      </c>
    </row>
    <row r="44" spans="2:7">
      <c r="C44" s="23"/>
    </row>
    <row r="45" spans="2:7">
      <c r="C45" s="23"/>
    </row>
    <row r="46" spans="2:7">
      <c r="C46" s="23"/>
    </row>
    <row r="47" spans="2:7" ht="15.75" thickBot="1">
      <c r="C47" s="23"/>
    </row>
    <row r="48" spans="2:7" ht="15.75" thickBot="1">
      <c r="B48" s="43" t="s">
        <v>6</v>
      </c>
      <c r="C48" s="66">
        <v>9.4490855863003556E-2</v>
      </c>
      <c r="D48" s="44" t="s">
        <v>17</v>
      </c>
      <c r="E48" s="45"/>
      <c r="G48" s="45"/>
    </row>
    <row r="49" spans="2:5">
      <c r="B49" s="2" t="s">
        <v>2</v>
      </c>
      <c r="C49" s="23">
        <f>C39*$C$48</f>
        <v>883.96195659839827</v>
      </c>
      <c r="D49" s="23">
        <f t="shared" ref="D49" si="17">E49-C49</f>
        <v>-22.711822115231598</v>
      </c>
      <c r="E49" s="23">
        <f>E39*$C$48</f>
        <v>861.25013448316668</v>
      </c>
    </row>
    <row r="50" spans="2:5">
      <c r="B50" s="2" t="s">
        <v>20</v>
      </c>
      <c r="C50" s="23">
        <f>C40*$C$48</f>
        <v>80182.861486515831</v>
      </c>
      <c r="D50" s="23">
        <f t="shared" ref="D50" si="18">E50-C50</f>
        <v>2601.548701059859</v>
      </c>
      <c r="E50" s="23">
        <f>E40*$C$48</f>
        <v>82784.41018757569</v>
      </c>
    </row>
    <row r="51" spans="2:5">
      <c r="B51" s="2" t="s">
        <v>3</v>
      </c>
      <c r="C51" s="23">
        <f>C41*$C$48</f>
        <v>13790.751431493643</v>
      </c>
      <c r="D51" s="23">
        <f t="shared" ref="D51" si="19">E51-C51</f>
        <v>-379.72756773097899</v>
      </c>
      <c r="E51" s="23">
        <f>E41*$C$48</f>
        <v>13411.023863762664</v>
      </c>
    </row>
    <row r="52" spans="2:5">
      <c r="B52" s="2" t="s">
        <v>4</v>
      </c>
      <c r="C52" s="38">
        <f>C42*$C$48</f>
        <v>243.88089898241219</v>
      </c>
      <c r="D52" s="38">
        <f t="shared" ref="D52" si="20">E52-C52</f>
        <v>-20.180412086661704</v>
      </c>
      <c r="E52" s="38">
        <f>E42*$C$48</f>
        <v>223.70048689575049</v>
      </c>
    </row>
    <row r="53" spans="2:5">
      <c r="B53" s="39" t="s">
        <v>1</v>
      </c>
      <c r="C53" s="41">
        <f>SUM(C49:C52)</f>
        <v>95101.455773590293</v>
      </c>
      <c r="D53" s="41">
        <f t="shared" ref="D53" si="21">E53-C53</f>
        <v>2178.9288991269714</v>
      </c>
      <c r="E53" s="41">
        <f>SUM(E49:E52)</f>
        <v>97280.384672717264</v>
      </c>
    </row>
    <row r="54" spans="2:5">
      <c r="C54" s="23"/>
    </row>
    <row r="58" spans="2:5">
      <c r="B58" s="46" t="s">
        <v>8</v>
      </c>
      <c r="D58" s="46"/>
    </row>
    <row r="59" spans="2:5">
      <c r="B59" s="2" t="s">
        <v>2</v>
      </c>
      <c r="C59" s="47">
        <f t="shared" ref="C59:E62" si="22">C15+C30+C49</f>
        <v>7628177.9619565988</v>
      </c>
      <c r="D59" s="47">
        <f t="shared" si="22"/>
        <v>-210553.18182211497</v>
      </c>
      <c r="E59" s="47">
        <f t="shared" si="22"/>
        <v>7417624.7801344832</v>
      </c>
    </row>
    <row r="60" spans="2:5">
      <c r="B60" s="2" t="s">
        <v>20</v>
      </c>
      <c r="C60" s="47">
        <f t="shared" si="22"/>
        <v>22405696.341834243</v>
      </c>
      <c r="D60" s="47">
        <f t="shared" si="22"/>
        <v>-820989.70243419043</v>
      </c>
      <c r="E60" s="47">
        <f t="shared" si="22"/>
        <v>21584706.639400054</v>
      </c>
    </row>
    <row r="61" spans="2:5">
      <c r="B61" s="2" t="s">
        <v>3</v>
      </c>
      <c r="C61" s="47">
        <f t="shared" si="22"/>
        <v>17275239.64716373</v>
      </c>
      <c r="D61" s="47">
        <f t="shared" si="22"/>
        <v>-1739390.8007936403</v>
      </c>
      <c r="E61" s="47">
        <f t="shared" si="22"/>
        <v>15535848.846370086</v>
      </c>
    </row>
    <row r="62" spans="2:5">
      <c r="B62" s="2" t="s">
        <v>4</v>
      </c>
      <c r="C62" s="48">
        <f t="shared" si="22"/>
        <v>492318.07196183142</v>
      </c>
      <c r="D62" s="48">
        <f t="shared" si="22"/>
        <v>-18921.164935263198</v>
      </c>
      <c r="E62" s="48">
        <f t="shared" si="22"/>
        <v>473396.90702656825</v>
      </c>
    </row>
    <row r="63" spans="2:5">
      <c r="B63" s="4" t="s">
        <v>1</v>
      </c>
      <c r="C63" s="49">
        <f>SUM(C59:C62)</f>
        <v>47801432.022916406</v>
      </c>
      <c r="D63" s="49">
        <f>SUM(D59:D62)</f>
        <v>-2789854.8499852088</v>
      </c>
      <c r="E63" s="49">
        <f>SUM(E59:E62)</f>
        <v>45011577.172931187</v>
      </c>
    </row>
    <row r="65" spans="1:5">
      <c r="A65" s="2" t="s">
        <v>10</v>
      </c>
      <c r="B65" s="2" t="s">
        <v>23</v>
      </c>
      <c r="C65" s="23">
        <f>C63*$C$78</f>
        <v>67223799.356915906</v>
      </c>
      <c r="D65" s="23">
        <f>D63*$C$78</f>
        <v>-3923410.5492993165</v>
      </c>
      <c r="E65" s="23">
        <f>E63*$C$78</f>
        <v>63300388.807616569</v>
      </c>
    </row>
    <row r="68" spans="1:5">
      <c r="B68" s="2" t="s">
        <v>21</v>
      </c>
      <c r="C68" s="23">
        <f>C69/$C$78</f>
        <v>-166169.91827300002</v>
      </c>
      <c r="D68" s="23">
        <f>D69/$C$78</f>
        <v>94953.934265000004</v>
      </c>
      <c r="E68" s="23">
        <f>E69/$C$78</f>
        <v>-71215.984007999999</v>
      </c>
    </row>
    <row r="69" spans="1:5">
      <c r="B69" s="2" t="s">
        <v>22</v>
      </c>
      <c r="C69" s="64">
        <v>-233687</v>
      </c>
      <c r="D69" s="64">
        <v>133535</v>
      </c>
      <c r="E69" s="23">
        <f>SUM(C69:D69)</f>
        <v>-100152</v>
      </c>
    </row>
    <row r="71" spans="1:5">
      <c r="B71" s="2" t="s">
        <v>24</v>
      </c>
      <c r="C71" s="47">
        <f t="shared" ref="C71:E71" si="23">C65+C69</f>
        <v>66990112.356915906</v>
      </c>
      <c r="D71" s="47">
        <f t="shared" si="23"/>
        <v>-3789875.5492993165</v>
      </c>
      <c r="E71" s="47">
        <f t="shared" si="23"/>
        <v>63200236.807616569</v>
      </c>
    </row>
    <row r="73" spans="1:5">
      <c r="A73" s="50"/>
      <c r="B73" s="50"/>
    </row>
    <row r="74" spans="1:5">
      <c r="B74" s="51" t="s">
        <v>12</v>
      </c>
    </row>
    <row r="75" spans="1:5">
      <c r="B75" s="2" t="s">
        <v>13</v>
      </c>
      <c r="C75" s="67">
        <v>0.21</v>
      </c>
    </row>
    <row r="76" spans="1:5">
      <c r="B76" s="2" t="s">
        <v>14</v>
      </c>
      <c r="C76" s="67">
        <v>9.9900000000000003E-2</v>
      </c>
    </row>
    <row r="77" spans="1:5">
      <c r="B77" s="2" t="s">
        <v>15</v>
      </c>
      <c r="C77" s="52">
        <f>C75+C76*(1-C75)</f>
        <v>0.28892099999999998</v>
      </c>
    </row>
    <row r="78" spans="1:5">
      <c r="B78" s="2" t="s">
        <v>16</v>
      </c>
      <c r="C78" s="52">
        <f>1/(1-C77)</f>
        <v>1.4063135038441579</v>
      </c>
    </row>
    <row r="81" spans="2:5">
      <c r="C81" s="47"/>
      <c r="D81" s="47"/>
      <c r="E81" s="47"/>
    </row>
    <row r="82" spans="2:5">
      <c r="C82" s="47"/>
      <c r="D82" s="47"/>
      <c r="E82" s="47"/>
    </row>
    <row r="83" spans="2:5">
      <c r="C83" s="47"/>
      <c r="D83" s="47"/>
      <c r="E83" s="47"/>
    </row>
    <row r="86" spans="2:5">
      <c r="B86" s="31"/>
    </row>
    <row r="88" spans="2:5">
      <c r="B88" s="31"/>
    </row>
    <row r="89" spans="2:5">
      <c r="B89" s="31"/>
    </row>
    <row r="91" spans="2:5">
      <c r="B91" s="31"/>
    </row>
  </sheetData>
  <sheetProtection algorithmName="SHA-512" hashValue="qVNFvPSaK6V6C2qa9U8TIWIQ98AyI4uHESwoqiNdfLnn8eyrpSKy5Cu6E72CiAYmIFxrl/sxOlAXNQG5WOPkAA==" saltValue="cHYvja1HfH+065WSCHyAKg==" spinCount="100000" sheet="1" objects="1" scenarios="1"/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Alvarez, Marianne M:(BSC)</cp:lastModifiedBy>
  <cp:lastPrinted>2019-03-08T18:47:18Z</cp:lastPrinted>
  <dcterms:created xsi:type="dcterms:W3CDTF">2019-02-20T15:33:09Z</dcterms:created>
  <dcterms:modified xsi:type="dcterms:W3CDTF">2020-05-29T19:33:52Z</dcterms:modified>
</cp:coreProperties>
</file>